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liedtke.martin\Daten\2026\Publikationen\Hoerverlustrechner-ISO-1999\"/>
    </mc:Choice>
  </mc:AlternateContent>
  <xr:revisionPtr revIDLastSave="0" documentId="13_ncr:1_{BA23272F-3952-459B-9348-C749AC0A9A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SO 1999" sheetId="1" r:id="rId1"/>
    <sheet name="Erläuterungen zur ISO 1999" sheetId="4" r:id="rId2"/>
    <sheet name="ISO 7029_2017" sheetId="5" state="hidden" r:id="rId3"/>
    <sheet name="N (durch Lärm)" sheetId="3" state="hidden" r:id="rId4"/>
  </sheets>
  <definedNames>
    <definedName name="_xlnm.Print_Area" localSheetId="1">'Erläuterungen zur ISO 1999'!$A$1:$C$8</definedName>
    <definedName name="_xlnm.Print_Area" localSheetId="0">'ISO 1999'!$A$1:$I$40</definedName>
    <definedName name="Fraktil">'N (durch Lärm)'!$A$39:$A$57</definedName>
    <definedName name="MF">#REF!</definedName>
    <definedName name="MW">'ISO 7029_2017'!$A$18:$A$19</definedName>
    <definedName name="Perzenti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5" l="1"/>
  <c r="E5" i="5"/>
  <c r="F6" i="5"/>
  <c r="F7" i="5"/>
  <c r="F8" i="5"/>
  <c r="F9" i="5"/>
  <c r="F10" i="5"/>
  <c r="F11" i="5"/>
  <c r="F12" i="5"/>
  <c r="F13" i="5"/>
  <c r="F14" i="5"/>
  <c r="F15" i="5"/>
  <c r="E6" i="5"/>
  <c r="E7" i="5"/>
  <c r="E8" i="5"/>
  <c r="E9" i="5"/>
  <c r="E10" i="5"/>
  <c r="E11" i="5"/>
  <c r="E12" i="5"/>
  <c r="E13" i="5"/>
  <c r="E14" i="5"/>
  <c r="E15" i="5"/>
  <c r="D5" i="5"/>
  <c r="D6" i="5"/>
  <c r="D7" i="5"/>
  <c r="D8" i="5"/>
  <c r="D9" i="5"/>
  <c r="D10" i="5"/>
  <c r="D11" i="5"/>
  <c r="D12" i="5"/>
  <c r="D13" i="5"/>
  <c r="D14" i="5"/>
  <c r="D15" i="5"/>
  <c r="A4" i="5"/>
  <c r="A15" i="5"/>
  <c r="A14" i="5"/>
  <c r="A12" i="5"/>
  <c r="A13" i="5"/>
  <c r="A11" i="5"/>
  <c r="A9" i="5"/>
  <c r="A10" i="5"/>
  <c r="A8" i="5"/>
  <c r="A6" i="5"/>
  <c r="A7" i="5"/>
  <c r="A5" i="5"/>
  <c r="V29" i="5"/>
  <c r="N28" i="5"/>
  <c r="V28" i="5" s="1"/>
  <c r="N27" i="5"/>
  <c r="V27" i="5" s="1"/>
  <c r="N26" i="5"/>
  <c r="V26" i="5" s="1"/>
  <c r="N25" i="5"/>
  <c r="V25" i="5" s="1"/>
  <c r="N24" i="5"/>
  <c r="V24" i="5" s="1"/>
  <c r="N23" i="5"/>
  <c r="V23" i="5" s="1"/>
  <c r="N22" i="5"/>
  <c r="V22" i="5" s="1"/>
  <c r="N21" i="5"/>
  <c r="V21" i="5" s="1"/>
  <c r="N20" i="5"/>
  <c r="V20" i="5" s="1"/>
  <c r="N19" i="5"/>
  <c r="V19" i="5" s="1"/>
  <c r="N18" i="5"/>
  <c r="V18" i="5" s="1"/>
  <c r="AB17" i="5"/>
  <c r="AA17" i="5"/>
  <c r="Z17" i="5"/>
  <c r="Y17" i="5"/>
  <c r="X17" i="5"/>
  <c r="W17" i="5"/>
  <c r="V17" i="5"/>
  <c r="T17" i="5"/>
  <c r="S17" i="5"/>
  <c r="R17" i="5"/>
  <c r="Q17" i="5"/>
  <c r="P17" i="5"/>
  <c r="O17" i="5"/>
  <c r="N17" i="5"/>
  <c r="I35" i="3" l="1"/>
  <c r="I34" i="3"/>
  <c r="I33" i="3"/>
  <c r="I32" i="3"/>
  <c r="I30" i="3"/>
  <c r="I29" i="3"/>
  <c r="H29" i="3"/>
  <c r="H30" i="3"/>
  <c r="H35" i="3"/>
  <c r="H34" i="3"/>
  <c r="H32" i="3"/>
  <c r="H33" i="3"/>
  <c r="F6" i="1"/>
  <c r="F5" i="1"/>
  <c r="F4" i="1"/>
  <c r="F8" i="1"/>
  <c r="F7" i="1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O32" i="3"/>
  <c r="P32" i="3"/>
  <c r="O30" i="3"/>
  <c r="P30" i="3"/>
  <c r="O29" i="3"/>
  <c r="P29" i="3"/>
  <c r="O33" i="3"/>
  <c r="P33" i="3"/>
  <c r="O34" i="3"/>
  <c r="P34" i="3"/>
  <c r="O35" i="3"/>
  <c r="P35" i="3"/>
  <c r="N32" i="3" l="1"/>
  <c r="F32" i="3" s="1"/>
  <c r="N35" i="3"/>
  <c r="F35" i="3" s="1"/>
  <c r="N33" i="3"/>
  <c r="F33" i="3" s="1"/>
  <c r="N34" i="3"/>
  <c r="F34" i="3" s="1"/>
  <c r="N29" i="3"/>
  <c r="F29" i="3" s="1"/>
  <c r="D38" i="3"/>
  <c r="B6" i="5" s="1"/>
  <c r="N30" i="3"/>
  <c r="B13" i="5" l="1"/>
  <c r="E38" i="1" s="1"/>
  <c r="B9" i="5"/>
  <c r="E34" i="1" s="1"/>
  <c r="B10" i="5"/>
  <c r="E35" i="1" s="1"/>
  <c r="B5" i="5"/>
  <c r="E30" i="1" s="1"/>
  <c r="B15" i="5"/>
  <c r="E40" i="1" s="1"/>
  <c r="B14" i="5"/>
  <c r="E39" i="1" s="1"/>
  <c r="B11" i="5"/>
  <c r="E36" i="1" s="1"/>
  <c r="B8" i="5"/>
  <c r="E33" i="1" s="1"/>
  <c r="B7" i="5"/>
  <c r="E32" i="1" s="1"/>
  <c r="B12" i="5"/>
  <c r="E37" i="1" s="1"/>
  <c r="E31" i="1"/>
  <c r="G35" i="3"/>
  <c r="G34" i="3"/>
  <c r="G32" i="3"/>
  <c r="G33" i="3"/>
  <c r="G29" i="3"/>
  <c r="G30" i="3"/>
  <c r="F30" i="3"/>
  <c r="E30" i="3"/>
  <c r="E29" i="3"/>
  <c r="E33" i="3"/>
  <c r="E34" i="3"/>
  <c r="E35" i="3"/>
  <c r="E32" i="3"/>
  <c r="D35" i="3" l="1"/>
  <c r="F39" i="1" s="1"/>
  <c r="D39" i="1" s="1"/>
  <c r="D32" i="3"/>
  <c r="F36" i="1" s="1"/>
  <c r="D36" i="1" s="1"/>
  <c r="D29" i="3"/>
  <c r="D33" i="3"/>
  <c r="D34" i="3"/>
  <c r="F38" i="1" s="1"/>
  <c r="D30" i="3"/>
  <c r="F37" i="1" l="1"/>
  <c r="D37" i="1" s="1"/>
  <c r="F34" i="1"/>
  <c r="F32" i="1"/>
  <c r="D32" i="1" s="1"/>
  <c r="D38" i="1"/>
  <c r="D34" i="1" l="1"/>
  <c r="D35" i="1" s="1"/>
  <c r="D33" i="1" l="1"/>
</calcChain>
</file>

<file path=xl/sharedStrings.xml><?xml version="1.0" encoding="utf-8"?>
<sst xmlns="http://schemas.openxmlformats.org/spreadsheetml/2006/main" count="104" uniqueCount="79">
  <si>
    <t>Geschlecht</t>
  </si>
  <si>
    <t>Alter</t>
  </si>
  <si>
    <t>Expositionsdauer</t>
  </si>
  <si>
    <t>Frequenz [Hz]</t>
  </si>
  <si>
    <t>männlich</t>
  </si>
  <si>
    <t>k</t>
  </si>
  <si>
    <t>Q (Quantil)</t>
  </si>
  <si>
    <t>k=</t>
  </si>
  <si>
    <t>H (altersbegleitend)</t>
  </si>
  <si>
    <t>N=</t>
  </si>
  <si>
    <t>u</t>
  </si>
  <si>
    <t>v</t>
  </si>
  <si>
    <t>L0</t>
  </si>
  <si>
    <t>N(0,50; J&lt;10)</t>
  </si>
  <si>
    <t>N(0,50; J&gt;=10)</t>
  </si>
  <si>
    <t>N(Q&lt;0,5)</t>
  </si>
  <si>
    <t>N(Q=0,5)</t>
  </si>
  <si>
    <t>N(Q&gt;0,5)</t>
  </si>
  <si>
    <t>Xu</t>
  </si>
  <si>
    <t>Yu</t>
  </si>
  <si>
    <t>Xl</t>
  </si>
  <si>
    <t>Yl</t>
  </si>
  <si>
    <t>du</t>
  </si>
  <si>
    <t>dl</t>
  </si>
  <si>
    <t>N(0,5)</t>
  </si>
  <si>
    <t>N(Q)</t>
  </si>
  <si>
    <t>N (lärmbedingt)</t>
  </si>
  <si>
    <t>Status</t>
  </si>
  <si>
    <t>H' (Alter und Lärm)</t>
  </si>
  <si>
    <t>Eingabe</t>
  </si>
  <si>
    <t>19-60 Jahre</t>
  </si>
  <si>
    <t>1 - 40 Jahre</t>
  </si>
  <si>
    <t>In die Berechnung gehen folgende Einflussgrößen ein: 1.) der A-bewertete Lärmexpositionspegel, 2.) die Expositionsdauer in Jahren, 3.) das Lebensalter in Jahren und 4.) das Geschlecht.</t>
  </si>
  <si>
    <t>75-100 dB(A)</t>
  </si>
  <si>
    <t>Die Aussagen des Modells beschränken sich auf Gruppen ohne außerberuflich bedingte Hörminderungen.</t>
  </si>
  <si>
    <t>[dB]</t>
  </si>
  <si>
    <t>[Hz]</t>
  </si>
  <si>
    <t>Eingabebereich</t>
  </si>
  <si>
    <t>ISO 1999 enthält ein mathematisches Modell zur Berechnung der zu erwartenden Hörverluste für Gruppen ohne Lärmbelastung und für einheitlich lärmbelastete Gruppen.</t>
  </si>
  <si>
    <t>◄ auswählen</t>
  </si>
  <si>
    <r>
      <t>L</t>
    </r>
    <r>
      <rPr>
        <b/>
        <vertAlign val="subscript"/>
        <sz val="12"/>
        <color indexed="16"/>
        <rFont val="Arial"/>
        <family val="2"/>
      </rPr>
      <t>EX,8h</t>
    </r>
  </si>
  <si>
    <t>Fraktil</t>
  </si>
  <si>
    <t xml:space="preserve">Die Berechnung ergibt die Hörverluste bei den Frequenzen 0,5; 1; 2; 3; 4; 6 kHz in Fraktilen 0,05 bis 0,95. Das Fraktil 0,05 besagt beispielsweise, dass bei 5 % der Lärmexponierten ein Hörverlust zu erwarten ist, der gleich oder größer ist als die Werte, die auf der y-Achse im Diagramm abgelesen werden können. </t>
  </si>
  <si>
    <t>© IFA 2026</t>
  </si>
  <si>
    <t>Frequency Hz</t>
  </si>
  <si>
    <t>a md</t>
  </si>
  <si>
    <t>b md</t>
  </si>
  <si>
    <t>Freq [Hz]</t>
  </si>
  <si>
    <t>y 0,su</t>
  </si>
  <si>
    <t>y 1,su</t>
  </si>
  <si>
    <t>y 2,su</t>
  </si>
  <si>
    <t>y 3,su</t>
  </si>
  <si>
    <t>y 4,su</t>
  </si>
  <si>
    <t>y 5,su</t>
  </si>
  <si>
    <t>y 0,sl</t>
  </si>
  <si>
    <t>y 1,sl</t>
  </si>
  <si>
    <t>y 2,sl</t>
  </si>
  <si>
    <t>y 3,sl</t>
  </si>
  <si>
    <t>y 4,sl</t>
  </si>
  <si>
    <t>y 5,sl</t>
  </si>
  <si>
    <t>males</t>
  </si>
  <si>
    <t>females</t>
  </si>
  <si>
    <t xml:space="preserve">males </t>
  </si>
  <si>
    <t>1 000</t>
  </si>
  <si>
    <t>1 500</t>
  </si>
  <si>
    <t>2 000</t>
  </si>
  <si>
    <t>3 000</t>
  </si>
  <si>
    <t>4 000</t>
  </si>
  <si>
    <t>6 000</t>
  </si>
  <si>
    <t>8 000</t>
  </si>
  <si>
    <t>H (ISO 7029:2017)</t>
  </si>
  <si>
    <t>delta H md,Y</t>
  </si>
  <si>
    <t>su</t>
  </si>
  <si>
    <t>sl</t>
  </si>
  <si>
    <t>H Q,Y</t>
  </si>
  <si>
    <t>Berechnung der "altersbegleitenden" (H) und der "altersbegleitenden und lärmbedingten" (H') permanenten Hörschwellenverschiebung für Populationen nach ISO 1999:2013, statt Datenbasis A, d.h. ISO 7029:1984, 
wurde  ISO 7029:2017 verwendet</t>
  </si>
  <si>
    <t>4,812E-02</t>
  </si>
  <si>
    <t>Die PTS (permanente Hörschwellenverschiebung) setzt sich aus zwei Anteilen zusammen: 1.) Einem altersbegleitenden Anteil H (dieser entspricht exakt der Linie "75 dB(A)"), der auch ohne Lärmexposition anzutreffen ist, und 2.) einem lärmbedingten Anteil H'-H, der für die Abweichungen von der "75 dB(A)"-Kurve hin zu höherer PTS verantwortlich ist. ISO 1999:2013 verwendet für H in der "Datenbasis A" die ISO 7029:1984. In dieser Darstellung wird mit der ISO 7029:2017 ("Statische Verteilung von Hörschwellen in Bezug auf das Alter und das Geschlecht") + Amd 1:2024 die aktuelle Version der Datenbasis für H verwendet.</t>
  </si>
  <si>
    <t>weiblich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</si>
</sst>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"/>
    <numFmt numFmtId="166" formatCode="0.0000"/>
    <numFmt numFmtId="167" formatCode="0.000E+00"/>
  </numFmts>
  <fonts count="21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0"/>
      <color indexed="43"/>
      <name val="Arial"/>
      <family val="2"/>
    </font>
    <font>
      <sz val="10"/>
      <name val="Arial"/>
      <family val="2"/>
    </font>
    <font>
      <sz val="10"/>
      <color indexed="14"/>
      <name val="Arial"/>
      <family val="2"/>
    </font>
    <font>
      <b/>
      <sz val="14"/>
      <color indexed="16"/>
      <name val="Arial"/>
      <family val="2"/>
    </font>
    <font>
      <sz val="10"/>
      <color indexed="16"/>
      <name val="Arial"/>
      <family val="2"/>
    </font>
    <font>
      <b/>
      <sz val="12"/>
      <color indexed="16"/>
      <name val="Arial"/>
      <family val="2"/>
    </font>
    <font>
      <b/>
      <vertAlign val="subscript"/>
      <sz val="12"/>
      <color indexed="16"/>
      <name val="Arial"/>
      <family val="2"/>
    </font>
    <font>
      <b/>
      <sz val="10"/>
      <color indexed="16"/>
      <name val="Arial"/>
      <family val="2"/>
    </font>
    <font>
      <b/>
      <sz val="14"/>
      <color indexed="16"/>
      <name val="Arial"/>
      <family val="2"/>
    </font>
    <font>
      <sz val="10"/>
      <color indexed="16"/>
      <name val="Arial"/>
      <family val="2"/>
    </font>
    <font>
      <b/>
      <sz val="10"/>
      <color theme="8" tint="0.79998168889431442"/>
      <name val="Arial"/>
      <family val="2"/>
    </font>
    <font>
      <sz val="11"/>
      <color theme="1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2"/>
      <color indexed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47">
    <border>
      <left/>
      <right/>
      <top/>
      <bottom/>
      <diagonal/>
    </border>
    <border>
      <left style="medium">
        <color indexed="16"/>
      </left>
      <right style="thin">
        <color indexed="16"/>
      </right>
      <top style="medium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medium">
        <color indexed="16"/>
      </top>
      <bottom style="thin">
        <color indexed="16"/>
      </bottom>
      <diagonal/>
    </border>
    <border>
      <left style="medium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medium">
        <color indexed="16"/>
      </left>
      <right style="thin">
        <color indexed="16"/>
      </right>
      <top style="thin">
        <color indexed="16"/>
      </top>
      <bottom style="medium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medium">
        <color indexed="16"/>
      </bottom>
      <diagonal/>
    </border>
    <border>
      <left style="thin">
        <color indexed="16"/>
      </left>
      <right style="medium">
        <color indexed="16"/>
      </right>
      <top style="medium">
        <color indexed="16"/>
      </top>
      <bottom style="thin">
        <color indexed="16"/>
      </bottom>
      <diagonal/>
    </border>
    <border>
      <left style="thin">
        <color indexed="16"/>
      </left>
      <right style="medium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medium">
        <color indexed="16"/>
      </right>
      <top style="thin">
        <color indexed="16"/>
      </top>
      <bottom style="medium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 style="thin">
        <color indexed="16"/>
      </right>
      <top/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7" fillId="0" borderId="0"/>
  </cellStyleXfs>
  <cellXfs count="110">
    <xf numFmtId="0" fontId="0" fillId="0" borderId="0" xfId="0"/>
    <xf numFmtId="0" fontId="0" fillId="2" borderId="0" xfId="0" applyFill="1"/>
    <xf numFmtId="0" fontId="0" fillId="2" borderId="0" xfId="0" applyFill="1" applyProtection="1">
      <protection hidden="1"/>
    </xf>
    <xf numFmtId="0" fontId="5" fillId="2" borderId="0" xfId="0" applyFont="1" applyFill="1" applyProtection="1">
      <protection hidden="1"/>
    </xf>
    <xf numFmtId="0" fontId="8" fillId="3" borderId="0" xfId="0" applyFont="1" applyFill="1"/>
    <xf numFmtId="0" fontId="0" fillId="3" borderId="0" xfId="0" applyFill="1"/>
    <xf numFmtId="0" fontId="4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2" fillId="3" borderId="0" xfId="0" applyFont="1" applyFill="1"/>
    <xf numFmtId="0" fontId="7" fillId="3" borderId="0" xfId="0" applyFont="1" applyFill="1"/>
    <xf numFmtId="0" fontId="3" fillId="3" borderId="0" xfId="0" applyFont="1" applyFill="1"/>
    <xf numFmtId="0" fontId="6" fillId="3" borderId="0" xfId="0" applyFont="1" applyFill="1"/>
    <xf numFmtId="0" fontId="11" fillId="3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2" xfId="0" applyFont="1" applyFill="1" applyBorder="1" applyAlignment="1" applyProtection="1">
      <alignment horizontal="center"/>
      <protection hidden="1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 applyProtection="1">
      <alignment horizontal="center"/>
      <protection hidden="1"/>
    </xf>
    <xf numFmtId="0" fontId="11" fillId="3" borderId="5" xfId="0" applyFont="1" applyFill="1" applyBorder="1" applyAlignment="1">
      <alignment horizontal="center"/>
    </xf>
    <xf numFmtId="0" fontId="11" fillId="3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11" fillId="3" borderId="8" xfId="0" applyFont="1" applyFill="1" applyBorder="1" applyAlignment="1" applyProtection="1">
      <alignment horizontal="center"/>
      <protection hidden="1"/>
    </xf>
    <xf numFmtId="0" fontId="11" fillId="3" borderId="9" xfId="0" applyFont="1" applyFill="1" applyBorder="1" applyAlignment="1" applyProtection="1">
      <alignment horizontal="center"/>
      <protection hidden="1"/>
    </xf>
    <xf numFmtId="0" fontId="13" fillId="3" borderId="1" xfId="0" applyFont="1" applyFill="1" applyBorder="1" applyAlignment="1" applyProtection="1">
      <alignment horizontal="center"/>
      <protection hidden="1"/>
    </xf>
    <xf numFmtId="0" fontId="13" fillId="3" borderId="3" xfId="0" applyFont="1" applyFill="1" applyBorder="1" applyAlignment="1" applyProtection="1">
      <alignment horizontal="center"/>
      <protection hidden="1"/>
    </xf>
    <xf numFmtId="0" fontId="13" fillId="3" borderId="4" xfId="0" applyFont="1" applyFill="1" applyBorder="1" applyAlignment="1" applyProtection="1">
      <alignment horizontal="center"/>
      <protection hidden="1"/>
    </xf>
    <xf numFmtId="0" fontId="13" fillId="3" borderId="8" xfId="0" applyFont="1" applyFill="1" applyBorder="1" applyAlignment="1" applyProtection="1">
      <alignment horizontal="center"/>
      <protection hidden="1"/>
    </xf>
    <xf numFmtId="1" fontId="13" fillId="3" borderId="4" xfId="0" applyNumberFormat="1" applyFont="1" applyFill="1" applyBorder="1" applyAlignment="1" applyProtection="1">
      <alignment horizontal="center"/>
      <protection hidden="1"/>
    </xf>
    <xf numFmtId="1" fontId="13" fillId="3" borderId="8" xfId="0" applyNumberFormat="1" applyFont="1" applyFill="1" applyBorder="1" applyAlignment="1" applyProtection="1">
      <alignment horizontal="center"/>
      <protection hidden="1"/>
    </xf>
    <xf numFmtId="0" fontId="13" fillId="3" borderId="5" xfId="0" applyFont="1" applyFill="1" applyBorder="1" applyAlignment="1" applyProtection="1">
      <alignment horizontal="center"/>
      <protection hidden="1"/>
    </xf>
    <xf numFmtId="1" fontId="13" fillId="3" borderId="6" xfId="0" applyNumberFormat="1" applyFont="1" applyFill="1" applyBorder="1" applyAlignment="1" applyProtection="1">
      <alignment horizontal="center"/>
      <protection hidden="1"/>
    </xf>
    <xf numFmtId="1" fontId="13" fillId="3" borderId="9" xfId="0" applyNumberFormat="1" applyFont="1" applyFill="1" applyBorder="1" applyAlignment="1" applyProtection="1">
      <alignment horizontal="center"/>
      <protection hidden="1"/>
    </xf>
    <xf numFmtId="0" fontId="14" fillId="3" borderId="10" xfId="0" applyFont="1" applyFill="1" applyBorder="1" applyAlignment="1">
      <alignment wrapText="1"/>
    </xf>
    <xf numFmtId="0" fontId="14" fillId="3" borderId="11" xfId="0" applyFont="1" applyFill="1" applyBorder="1" applyAlignment="1">
      <alignment wrapText="1"/>
    </xf>
    <xf numFmtId="0" fontId="11" fillId="4" borderId="4" xfId="0" applyFont="1" applyFill="1" applyBorder="1" applyAlignment="1" applyProtection="1">
      <alignment horizontal="center"/>
      <protection locked="0"/>
    </xf>
    <xf numFmtId="0" fontId="11" fillId="4" borderId="6" xfId="0" applyFont="1" applyFill="1" applyBorder="1" applyAlignment="1" applyProtection="1">
      <alignment horizontal="center"/>
      <protection locked="0"/>
    </xf>
    <xf numFmtId="49" fontId="11" fillId="4" borderId="4" xfId="0" applyNumberFormat="1" applyFont="1" applyFill="1" applyBorder="1" applyAlignment="1" applyProtection="1">
      <alignment horizontal="center"/>
      <protection locked="0"/>
    </xf>
    <xf numFmtId="0" fontId="15" fillId="3" borderId="0" xfId="0" applyFont="1" applyFill="1"/>
    <xf numFmtId="0" fontId="7" fillId="0" borderId="0" xfId="0" applyFont="1"/>
    <xf numFmtId="0" fontId="9" fillId="3" borderId="12" xfId="0" applyFont="1" applyFill="1" applyBorder="1" applyAlignment="1">
      <alignment vertical="top" wrapText="1"/>
    </xf>
    <xf numFmtId="0" fontId="9" fillId="3" borderId="11" xfId="0" applyFont="1" applyFill="1" applyBorder="1" applyAlignment="1">
      <alignment wrapText="1"/>
    </xf>
    <xf numFmtId="0" fontId="6" fillId="5" borderId="0" xfId="0" applyFont="1" applyFill="1"/>
    <xf numFmtId="0" fontId="0" fillId="5" borderId="0" xfId="0" applyFill="1"/>
    <xf numFmtId="0" fontId="3" fillId="5" borderId="0" xfId="0" applyFont="1" applyFill="1"/>
    <xf numFmtId="1" fontId="16" fillId="3" borderId="0" xfId="0" applyNumberFormat="1" applyFont="1" applyFill="1" applyAlignment="1" applyProtection="1">
      <alignment horizontal="center"/>
      <protection hidden="1"/>
    </xf>
    <xf numFmtId="1" fontId="16" fillId="5" borderId="0" xfId="0" applyNumberFormat="1" applyFont="1" applyFill="1" applyAlignment="1" applyProtection="1">
      <alignment horizontal="center"/>
      <protection hidden="1"/>
    </xf>
    <xf numFmtId="0" fontId="10" fillId="3" borderId="0" xfId="0" applyFont="1" applyFill="1"/>
    <xf numFmtId="1" fontId="16" fillId="3" borderId="4" xfId="0" applyNumberFormat="1" applyFont="1" applyFill="1" applyBorder="1" applyAlignment="1" applyProtection="1">
      <alignment horizontal="center"/>
      <protection hidden="1"/>
    </xf>
    <xf numFmtId="0" fontId="17" fillId="0" borderId="0" xfId="1"/>
    <xf numFmtId="1" fontId="3" fillId="5" borderId="0" xfId="0" applyNumberFormat="1" applyFont="1" applyFill="1" applyAlignment="1" applyProtection="1">
      <alignment horizontal="center"/>
      <protection hidden="1"/>
    </xf>
    <xf numFmtId="0" fontId="17" fillId="6" borderId="0" xfId="1" applyFill="1"/>
    <xf numFmtId="1" fontId="17" fillId="6" borderId="0" xfId="1" applyNumberFormat="1" applyFill="1"/>
    <xf numFmtId="0" fontId="18" fillId="4" borderId="13" xfId="0" applyFont="1" applyFill="1" applyBorder="1" applyProtection="1">
      <protection hidden="1"/>
    </xf>
    <xf numFmtId="0" fontId="18" fillId="4" borderId="14" xfId="0" applyFont="1" applyFill="1" applyBorder="1" applyProtection="1">
      <protection hidden="1"/>
    </xf>
    <xf numFmtId="0" fontId="18" fillId="4" borderId="15" xfId="0" applyFont="1" applyFill="1" applyBorder="1" applyProtection="1">
      <protection hidden="1"/>
    </xf>
    <xf numFmtId="0" fontId="18" fillId="4" borderId="16" xfId="0" applyFont="1" applyFill="1" applyBorder="1" applyProtection="1">
      <protection hidden="1"/>
    </xf>
    <xf numFmtId="0" fontId="18" fillId="4" borderId="17" xfId="0" applyFont="1" applyFill="1" applyBorder="1" applyProtection="1">
      <protection hidden="1"/>
    </xf>
    <xf numFmtId="0" fontId="18" fillId="4" borderId="18" xfId="0" applyFont="1" applyFill="1" applyBorder="1" applyProtection="1">
      <protection hidden="1"/>
    </xf>
    <xf numFmtId="0" fontId="18" fillId="0" borderId="17" xfId="0" applyFont="1" applyBorder="1" applyProtection="1">
      <protection hidden="1"/>
    </xf>
    <xf numFmtId="0" fontId="18" fillId="4" borderId="19" xfId="0" applyFont="1" applyFill="1" applyBorder="1" applyProtection="1">
      <protection hidden="1"/>
    </xf>
    <xf numFmtId="0" fontId="18" fillId="4" borderId="20" xfId="0" applyFont="1" applyFill="1" applyBorder="1" applyProtection="1">
      <protection hidden="1"/>
    </xf>
    <xf numFmtId="0" fontId="18" fillId="4" borderId="21" xfId="0" applyFont="1" applyFill="1" applyBorder="1" applyProtection="1">
      <protection hidden="1"/>
    </xf>
    <xf numFmtId="0" fontId="19" fillId="0" borderId="34" xfId="1" applyFont="1" applyBorder="1" applyProtection="1">
      <protection hidden="1"/>
    </xf>
    <xf numFmtId="0" fontId="19" fillId="0" borderId="35" xfId="1" applyFont="1" applyBorder="1" applyProtection="1">
      <protection hidden="1"/>
    </xf>
    <xf numFmtId="0" fontId="19" fillId="0" borderId="36" xfId="1" applyFont="1" applyBorder="1" applyProtection="1">
      <protection hidden="1"/>
    </xf>
    <xf numFmtId="0" fontId="19" fillId="0" borderId="37" xfId="1" applyFont="1" applyBorder="1" applyProtection="1">
      <protection hidden="1"/>
    </xf>
    <xf numFmtId="0" fontId="19" fillId="0" borderId="0" xfId="1" applyFont="1" applyProtection="1">
      <protection hidden="1"/>
    </xf>
    <xf numFmtId="0" fontId="19" fillId="0" borderId="38" xfId="1" applyFont="1" applyBorder="1" applyProtection="1">
      <protection hidden="1"/>
    </xf>
    <xf numFmtId="0" fontId="19" fillId="0" borderId="25" xfId="1" applyFont="1" applyBorder="1" applyProtection="1">
      <protection hidden="1"/>
    </xf>
    <xf numFmtId="0" fontId="19" fillId="0" borderId="26" xfId="1" applyFont="1" applyBorder="1" applyProtection="1">
      <protection hidden="1"/>
    </xf>
    <xf numFmtId="0" fontId="19" fillId="0" borderId="27" xfId="1" applyFont="1" applyBorder="1" applyProtection="1">
      <protection hidden="1"/>
    </xf>
    <xf numFmtId="0" fontId="19" fillId="0" borderId="28" xfId="1" applyFont="1" applyBorder="1" applyProtection="1">
      <protection hidden="1"/>
    </xf>
    <xf numFmtId="0" fontId="19" fillId="0" borderId="39" xfId="1" applyFont="1" applyBorder="1" applyProtection="1">
      <protection hidden="1"/>
    </xf>
    <xf numFmtId="0" fontId="19" fillId="0" borderId="40" xfId="1" applyFont="1" applyBorder="1" applyProtection="1">
      <protection hidden="1"/>
    </xf>
    <xf numFmtId="1" fontId="18" fillId="0" borderId="29" xfId="1" applyNumberFormat="1" applyFont="1" applyBorder="1" applyAlignment="1" applyProtection="1">
      <alignment horizontal="center" vertical="center" wrapText="1"/>
      <protection hidden="1"/>
    </xf>
    <xf numFmtId="0" fontId="18" fillId="0" borderId="0" xfId="1" applyFont="1" applyAlignment="1" applyProtection="1">
      <alignment horizontal="center" vertical="center" wrapText="1"/>
      <protection hidden="1"/>
    </xf>
    <xf numFmtId="167" fontId="18" fillId="0" borderId="0" xfId="1" applyNumberFormat="1" applyFont="1" applyAlignment="1" applyProtection="1">
      <alignment horizontal="center" vertical="center" wrapText="1"/>
      <protection hidden="1"/>
    </xf>
    <xf numFmtId="167" fontId="18" fillId="0" borderId="30" xfId="1" applyNumberFormat="1" applyFont="1" applyBorder="1" applyAlignment="1" applyProtection="1">
      <alignment horizontal="center" vertical="center" wrapText="1"/>
      <protection hidden="1"/>
    </xf>
    <xf numFmtId="1" fontId="18" fillId="0" borderId="29" xfId="1" applyNumberFormat="1" applyFont="1" applyBorder="1" applyAlignment="1" applyProtection="1">
      <alignment horizontal="center" wrapText="1"/>
      <protection hidden="1"/>
    </xf>
    <xf numFmtId="164" fontId="18" fillId="0" borderId="0" xfId="1" applyNumberFormat="1" applyFont="1" applyAlignment="1" applyProtection="1">
      <alignment horizontal="center" vertical="center" wrapText="1"/>
      <protection hidden="1"/>
    </xf>
    <xf numFmtId="167" fontId="19" fillId="0" borderId="0" xfId="1" applyNumberFormat="1" applyFont="1" applyAlignment="1" applyProtection="1">
      <alignment horizontal="center"/>
      <protection hidden="1"/>
    </xf>
    <xf numFmtId="167" fontId="19" fillId="0" borderId="0" xfId="1" applyNumberFormat="1" applyFont="1" applyProtection="1">
      <protection hidden="1"/>
    </xf>
    <xf numFmtId="11" fontId="19" fillId="0" borderId="0" xfId="1" applyNumberFormat="1" applyFont="1" applyProtection="1">
      <protection hidden="1"/>
    </xf>
    <xf numFmtId="167" fontId="19" fillId="0" borderId="38" xfId="1" applyNumberFormat="1" applyFont="1" applyBorder="1" applyProtection="1">
      <protection hidden="1"/>
    </xf>
    <xf numFmtId="1" fontId="19" fillId="0" borderId="40" xfId="1" applyNumberFormat="1" applyFont="1" applyBorder="1" applyAlignment="1" applyProtection="1">
      <alignment horizontal="right"/>
      <protection hidden="1"/>
    </xf>
    <xf numFmtId="164" fontId="19" fillId="0" borderId="25" xfId="1" applyNumberFormat="1" applyFont="1" applyBorder="1" applyProtection="1">
      <protection hidden="1"/>
    </xf>
    <xf numFmtId="164" fontId="19" fillId="0" borderId="0" xfId="1" applyNumberFormat="1" applyFont="1" applyProtection="1">
      <protection hidden="1"/>
    </xf>
    <xf numFmtId="1" fontId="19" fillId="0" borderId="25" xfId="1" applyNumberFormat="1" applyFont="1" applyBorder="1" applyAlignment="1" applyProtection="1">
      <alignment horizontal="center"/>
      <protection hidden="1"/>
    </xf>
    <xf numFmtId="11" fontId="19" fillId="0" borderId="25" xfId="1" applyNumberFormat="1" applyFont="1" applyBorder="1" applyProtection="1">
      <protection hidden="1"/>
    </xf>
    <xf numFmtId="1" fontId="18" fillId="0" borderId="29" xfId="1" applyNumberFormat="1" applyFont="1" applyBorder="1" applyAlignment="1" applyProtection="1">
      <alignment horizontal="center"/>
      <protection hidden="1"/>
    </xf>
    <xf numFmtId="164" fontId="18" fillId="0" borderId="0" xfId="1" applyNumberFormat="1" applyFont="1" applyAlignment="1" applyProtection="1">
      <alignment horizontal="center"/>
      <protection hidden="1"/>
    </xf>
    <xf numFmtId="165" fontId="19" fillId="0" borderId="25" xfId="1" applyNumberFormat="1" applyFont="1" applyBorder="1" applyProtection="1">
      <protection hidden="1"/>
    </xf>
    <xf numFmtId="1" fontId="18" fillId="0" borderId="31" xfId="1" applyNumberFormat="1" applyFont="1" applyBorder="1" applyAlignment="1" applyProtection="1">
      <alignment horizontal="center" vertical="center" wrapText="1"/>
      <protection hidden="1"/>
    </xf>
    <xf numFmtId="0" fontId="19" fillId="0" borderId="32" xfId="1" applyFont="1" applyBorder="1" applyProtection="1">
      <protection hidden="1"/>
    </xf>
    <xf numFmtId="0" fontId="19" fillId="0" borderId="33" xfId="1" applyFont="1" applyBorder="1" applyProtection="1">
      <protection hidden="1"/>
    </xf>
    <xf numFmtId="1" fontId="18" fillId="0" borderId="31" xfId="1" applyNumberFormat="1" applyFont="1" applyBorder="1" applyAlignment="1" applyProtection="1">
      <alignment horizontal="center" wrapText="1"/>
      <protection hidden="1"/>
    </xf>
    <xf numFmtId="0" fontId="19" fillId="0" borderId="41" xfId="1" applyFont="1" applyBorder="1" applyProtection="1">
      <protection hidden="1"/>
    </xf>
    <xf numFmtId="1" fontId="19" fillId="0" borderId="0" xfId="1" applyNumberFormat="1" applyFont="1" applyAlignment="1" applyProtection="1">
      <alignment horizontal="center"/>
      <protection hidden="1"/>
    </xf>
    <xf numFmtId="1" fontId="19" fillId="0" borderId="29" xfId="1" applyNumberFormat="1" applyFont="1" applyBorder="1" applyAlignment="1" applyProtection="1">
      <alignment horizontal="center"/>
      <protection hidden="1"/>
    </xf>
    <xf numFmtId="166" fontId="18" fillId="0" borderId="0" xfId="1" applyNumberFormat="1" applyFont="1" applyAlignment="1" applyProtection="1">
      <alignment horizontal="center" vertical="center" wrapText="1"/>
      <protection hidden="1"/>
    </xf>
    <xf numFmtId="167" fontId="18" fillId="0" borderId="38" xfId="1" applyNumberFormat="1" applyFont="1" applyBorder="1" applyAlignment="1" applyProtection="1">
      <alignment horizontal="center" vertical="center" wrapText="1"/>
      <protection hidden="1"/>
    </xf>
    <xf numFmtId="0" fontId="19" fillId="0" borderId="42" xfId="1" applyFont="1" applyBorder="1" applyProtection="1">
      <protection hidden="1"/>
    </xf>
    <xf numFmtId="0" fontId="19" fillId="0" borderId="43" xfId="1" applyFont="1" applyBorder="1" applyProtection="1">
      <protection hidden="1"/>
    </xf>
    <xf numFmtId="1" fontId="19" fillId="0" borderId="44" xfId="1" applyNumberFormat="1" applyFont="1" applyBorder="1" applyAlignment="1" applyProtection="1">
      <alignment horizontal="center"/>
      <protection hidden="1"/>
    </xf>
    <xf numFmtId="0" fontId="19" fillId="0" borderId="45" xfId="1" applyFont="1" applyBorder="1" applyProtection="1">
      <protection hidden="1"/>
    </xf>
    <xf numFmtId="0" fontId="19" fillId="0" borderId="46" xfId="1" applyFont="1" applyBorder="1" applyProtection="1">
      <protection hidden="1"/>
    </xf>
    <xf numFmtId="0" fontId="11" fillId="3" borderId="22" xfId="0" applyFont="1" applyFill="1" applyBorder="1" applyAlignment="1">
      <alignment horizontal="center" wrapText="1"/>
    </xf>
    <xf numFmtId="0" fontId="20" fillId="3" borderId="23" xfId="0" applyFont="1" applyFill="1" applyBorder="1" applyAlignment="1">
      <alignment horizontal="center" wrapText="1"/>
    </xf>
    <xf numFmtId="0" fontId="20" fillId="3" borderId="24" xfId="0" applyFont="1" applyFill="1" applyBorder="1" applyAlignment="1">
      <alignment horizontal="center" wrapText="1"/>
    </xf>
    <xf numFmtId="0" fontId="13" fillId="3" borderId="2" xfId="0" applyFont="1" applyFill="1" applyBorder="1" applyAlignment="1" applyProtection="1">
      <alignment horizontal="center" wrapText="1"/>
      <protection hidden="1"/>
    </xf>
    <xf numFmtId="0" fontId="13" fillId="3" borderId="7" xfId="0" applyFont="1" applyFill="1" applyBorder="1" applyAlignment="1" applyProtection="1">
      <alignment horizontal="center" wrapText="1"/>
      <protection hidden="1"/>
    </xf>
  </cellXfs>
  <cellStyles count="2">
    <cellStyle name="Standard" xfId="0" builtinId="0"/>
    <cellStyle name="Standard 2" xfId="1" xr:uid="{784E7559-F40F-4CBC-927D-3E3C322C5018}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2EEF8"/>
      <rgbColor rgb="0000FFFF"/>
      <rgbColor rgb="00004994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15168553457258"/>
          <c:y val="7.6056442639253194E-2"/>
          <c:w val="0.57121296640176134"/>
          <c:h val="0.723944657714373"/>
        </c:manualLayout>
      </c:layout>
      <c:scatterChart>
        <c:scatterStyle val="lineMarker"/>
        <c:varyColors val="0"/>
        <c:ser>
          <c:idx val="0"/>
          <c:order val="0"/>
          <c:tx>
            <c:strRef>
              <c:f>'ISO 1999'!$E$28</c:f>
              <c:strCache>
                <c:ptCount val="1"/>
                <c:pt idx="0">
                  <c:v>H (altersbegleitend)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10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'ISO 1999'!$C$30:$C$40</c:f>
              <c:numCache>
                <c:formatCode>General</c:formatCode>
                <c:ptCount val="11"/>
                <c:pt idx="0">
                  <c:v>125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1500</c:v>
                </c:pt>
                <c:pt idx="6">
                  <c:v>2000</c:v>
                </c:pt>
                <c:pt idx="7">
                  <c:v>3000</c:v>
                </c:pt>
                <c:pt idx="8">
                  <c:v>4000</c:v>
                </c:pt>
                <c:pt idx="9">
                  <c:v>6000</c:v>
                </c:pt>
                <c:pt idx="10">
                  <c:v>8000</c:v>
                </c:pt>
              </c:numCache>
            </c:numRef>
          </c:xVal>
          <c:yVal>
            <c:numRef>
              <c:f>'ISO 1999'!$E$30:$E$40</c:f>
              <c:numCache>
                <c:formatCode>0</c:formatCode>
                <c:ptCount val="11"/>
                <c:pt idx="0">
                  <c:v>2.6387778553090961</c:v>
                </c:pt>
                <c:pt idx="1">
                  <c:v>3.8385047539431412</c:v>
                </c:pt>
                <c:pt idx="2">
                  <c:v>4.3685816730104117</c:v>
                </c:pt>
                <c:pt idx="3">
                  <c:v>4.9567565200640589</c:v>
                </c:pt>
                <c:pt idx="4">
                  <c:v>5.720476580534724</c:v>
                </c:pt>
                <c:pt idx="5">
                  <c:v>7.4687498689600682</c:v>
                </c:pt>
                <c:pt idx="6">
                  <c:v>9.1850503854562593</c:v>
                </c:pt>
                <c:pt idx="7">
                  <c:v>12.305740942277879</c:v>
                </c:pt>
                <c:pt idx="8">
                  <c:v>15.050395945769196</c:v>
                </c:pt>
                <c:pt idx="9">
                  <c:v>19.341279156229874</c:v>
                </c:pt>
                <c:pt idx="10">
                  <c:v>22.642487177239428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85-4483-BF1B-B241E6840D59}"/>
            </c:ext>
          </c:extLst>
        </c:ser>
        <c:ser>
          <c:idx val="1"/>
          <c:order val="1"/>
          <c:tx>
            <c:strRef>
              <c:f>'ISO 1999'!$D$28</c:f>
              <c:strCache>
                <c:ptCount val="1"/>
                <c:pt idx="0">
                  <c:v>H' (Alter und Lärm)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10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dPt>
            <c:idx val="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20C9-4794-AE5E-DF751696D8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2-1485-4483-BF1B-B241E6840D59}"/>
              </c:ext>
            </c:extLst>
          </c:dPt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20C9-4794-AE5E-DF751696D8E3}"/>
              </c:ext>
            </c:extLst>
          </c:dPt>
          <c:xVal>
            <c:numRef>
              <c:f>'ISO 1999'!$C$30:$C$40</c:f>
              <c:numCache>
                <c:formatCode>General</c:formatCode>
                <c:ptCount val="11"/>
                <c:pt idx="0">
                  <c:v>125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1500</c:v>
                </c:pt>
                <c:pt idx="6">
                  <c:v>2000</c:v>
                </c:pt>
                <c:pt idx="7">
                  <c:v>3000</c:v>
                </c:pt>
                <c:pt idx="8">
                  <c:v>4000</c:v>
                </c:pt>
                <c:pt idx="9">
                  <c:v>6000</c:v>
                </c:pt>
                <c:pt idx="10">
                  <c:v>8000</c:v>
                </c:pt>
              </c:numCache>
            </c:numRef>
          </c:xVal>
          <c:yVal>
            <c:numRef>
              <c:f>'ISO 1999'!$D$30:$D$40</c:f>
              <c:numCache>
                <c:formatCode>0</c:formatCode>
                <c:ptCount val="11"/>
                <c:pt idx="2">
                  <c:v>4.3685816730104117</c:v>
                </c:pt>
                <c:pt idx="3">
                  <c:v>5.2084594913215332</c:v>
                </c:pt>
                <c:pt idx="4">
                  <c:v>5.8043622867688986</c:v>
                </c:pt>
                <c:pt idx="5">
                  <c:v>10.856067865619144</c:v>
                </c:pt>
                <c:pt idx="6">
                  <c:v>14.440310014396525</c:v>
                </c:pt>
                <c:pt idx="7">
                  <c:v>22.790726100442708</c:v>
                </c:pt>
                <c:pt idx="8">
                  <c:v>27.565970974280887</c:v>
                </c:pt>
                <c:pt idx="9">
                  <c:v>27.288067062787793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485-4483-BF1B-B241E6840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6106448"/>
        <c:axId val="1"/>
      </c:scatterChart>
      <c:valAx>
        <c:axId val="1566106448"/>
        <c:scaling>
          <c:logBase val="10"/>
          <c:orientation val="minMax"/>
          <c:min val="1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Frequenz (Hz)</a:t>
                </a:r>
              </a:p>
            </c:rich>
          </c:tx>
          <c:layout>
            <c:manualLayout>
              <c:xMode val="edge"/>
              <c:yMode val="edge"/>
              <c:x val="0.32272774994034836"/>
              <c:y val="0.890142028021145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max"/>
        <c:crossBetween val="midCat"/>
        <c:majorUnit val="10"/>
        <c:minorUnit val="10"/>
      </c:valAx>
      <c:valAx>
        <c:axId val="1"/>
        <c:scaling>
          <c:orientation val="maxMin"/>
          <c:max val="100"/>
          <c:min val="-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Hörschwellenverschiebung (dB)</a:t>
                </a:r>
              </a:p>
            </c:rich>
          </c:tx>
          <c:layout>
            <c:manualLayout>
              <c:xMode val="edge"/>
              <c:yMode val="edge"/>
              <c:x val="2.4242424242424242E-2"/>
              <c:y val="0.1126763520757088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6106448"/>
        <c:crosses val="autoZero"/>
        <c:crossBetween val="midCat"/>
        <c:majorUnit val="10"/>
        <c:minorUnit val="1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636474986081291"/>
          <c:y val="0.37464847879930502"/>
          <c:w val="0.25151546965720195"/>
          <c:h val="0.1267608591179623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715481471248839"/>
          <c:y val="3.560830860534124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2670589422266049"/>
          <c:y val="0.31454051508675335"/>
          <c:w val="0.80896840157544769"/>
          <c:h val="0.61127685007425658"/>
        </c:manualLayout>
      </c:layout>
      <c:scatterChart>
        <c:scatterStyle val="lineMarker"/>
        <c:varyColors val="0"/>
        <c:ser>
          <c:idx val="0"/>
          <c:order val="0"/>
          <c:tx>
            <c:strRef>
              <c:f>'N (durch Lärm)'!$A$26</c:f>
              <c:strCache>
                <c:ptCount val="1"/>
                <c:pt idx="0">
                  <c:v>Frequenz [Hz]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'N (durch Lärm)'!$A$27:$A$36</c:f>
              <c:numCache>
                <c:formatCode>General</c:formatCode>
                <c:ptCount val="10"/>
                <c:pt idx="0">
                  <c:v>125</c:v>
                </c:pt>
                <c:pt idx="1">
                  <c:v>250</c:v>
                </c:pt>
                <c:pt idx="2">
                  <c:v>500</c:v>
                </c:pt>
                <c:pt idx="3">
                  <c:v>1000</c:v>
                </c:pt>
                <c:pt idx="4">
                  <c:v>1500</c:v>
                </c:pt>
                <c:pt idx="5">
                  <c:v>2000</c:v>
                </c:pt>
                <c:pt idx="6">
                  <c:v>3000</c:v>
                </c:pt>
                <c:pt idx="7">
                  <c:v>4000</c:v>
                </c:pt>
                <c:pt idx="8">
                  <c:v>6000</c:v>
                </c:pt>
                <c:pt idx="9">
                  <c:v>8000</c:v>
                </c:pt>
              </c:numCache>
            </c:numRef>
          </c:xVal>
          <c:yVal>
            <c:numRef>
              <c:f>'N (durch Lärm)'!$D$27:$D$36</c:f>
              <c:numCache>
                <c:formatCode>General</c:formatCode>
                <c:ptCount val="10"/>
                <c:pt idx="2">
                  <c:v>0</c:v>
                </c:pt>
                <c:pt idx="3">
                  <c:v>8.8084763104519292E-2</c:v>
                </c:pt>
                <c:pt idx="5">
                  <c:v>5.6908490927118178</c:v>
                </c:pt>
                <c:pt idx="6">
                  <c:v>11.683057481322273</c:v>
                </c:pt>
                <c:pt idx="7">
                  <c:v>14.3103827494703</c:v>
                </c:pt>
                <c:pt idx="8">
                  <c:v>9.4737399878847182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9E-4664-A2BE-AC5E86DF0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3934064"/>
        <c:axId val="1"/>
      </c:scatterChart>
      <c:valAx>
        <c:axId val="1893934064"/>
        <c:scaling>
          <c:logBase val="10"/>
          <c:orientation val="minMax"/>
          <c:min val="100"/>
        </c:scaling>
        <c:delete val="0"/>
        <c:axPos val="t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Frequenz</a:t>
                </a:r>
              </a:p>
            </c:rich>
          </c:tx>
          <c:layout>
            <c:manualLayout>
              <c:xMode val="edge"/>
              <c:yMode val="edge"/>
              <c:x val="0.46783707592106538"/>
              <c:y val="0.154302982156903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crossBetween val="midCat"/>
      </c:valAx>
      <c:valAx>
        <c:axId val="1"/>
        <c:scaling>
          <c:orientation val="maxMin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dB</a:t>
                </a:r>
              </a:p>
            </c:rich>
          </c:tx>
          <c:layout>
            <c:manualLayout>
              <c:xMode val="edge"/>
              <c:yMode val="edge"/>
              <c:x val="3.1189083820662766E-2"/>
              <c:y val="0.590505385639851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893934064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8</xdr:row>
      <xdr:rowOff>161925</xdr:rowOff>
    </xdr:from>
    <xdr:to>
      <xdr:col>4</xdr:col>
      <xdr:colOff>843915</xdr:colOff>
      <xdr:row>25</xdr:row>
      <xdr:rowOff>144780</xdr:rowOff>
    </xdr:to>
    <xdr:graphicFrame macro="">
      <xdr:nvGraphicFramePr>
        <xdr:cNvPr id="3115" name="Diagramm 1">
          <a:extLst>
            <a:ext uri="{FF2B5EF4-FFF2-40B4-BE49-F238E27FC236}">
              <a16:creationId xmlns:a16="http://schemas.microsoft.com/office/drawing/2014/main" id="{FD2A11C2-B55E-4FE1-9BC7-3D737038C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</xdr:row>
      <xdr:rowOff>104775</xdr:rowOff>
    </xdr:from>
    <xdr:to>
      <xdr:col>1</xdr:col>
      <xdr:colOff>2819400</xdr:colOff>
      <xdr:row>6</xdr:row>
      <xdr:rowOff>47625</xdr:rowOff>
    </xdr:to>
    <xdr:pic>
      <xdr:nvPicPr>
        <xdr:cNvPr id="3116" name="Picture 14">
          <a:extLst>
            <a:ext uri="{FF2B5EF4-FFF2-40B4-BE49-F238E27FC236}">
              <a16:creationId xmlns:a16="http://schemas.microsoft.com/office/drawing/2014/main" id="{61CE4B8C-CB70-42BD-B84C-BFA73D149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9150"/>
          <a:ext cx="36195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314325</xdr:colOff>
      <xdr:row>20</xdr:row>
      <xdr:rowOff>133350</xdr:rowOff>
    </xdr:to>
    <xdr:graphicFrame macro="">
      <xdr:nvGraphicFramePr>
        <xdr:cNvPr id="2062" name="Diagramm 1">
          <a:extLst>
            <a:ext uri="{FF2B5EF4-FFF2-40B4-BE49-F238E27FC236}">
              <a16:creationId xmlns:a16="http://schemas.microsoft.com/office/drawing/2014/main" id="{B83B1FC9-CC91-4340-9EB6-A6C56B49E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201"/>
  <sheetViews>
    <sheetView tabSelected="1" zoomScaleNormal="100" workbookViewId="0">
      <selection activeCell="D6" sqref="D6"/>
    </sheetView>
  </sheetViews>
  <sheetFormatPr baseColWidth="10" defaultRowHeight="13.2" x14ac:dyDescent="0.25"/>
  <cols>
    <col min="1" max="1" width="12" style="1" customWidth="1"/>
    <col min="2" max="2" width="43.5546875" style="1" customWidth="1"/>
    <col min="3" max="3" width="21.5546875" style="1" customWidth="1"/>
    <col min="4" max="4" width="14.109375" style="1" customWidth="1"/>
    <col min="5" max="5" width="19.109375" style="1" customWidth="1"/>
    <col min="6" max="6" width="12" style="1" customWidth="1"/>
    <col min="7" max="7" width="11.88671875" style="1" hidden="1" customWidth="1"/>
    <col min="8" max="8" width="11.44140625" style="1" hidden="1" customWidth="1"/>
    <col min="9" max="9" width="1" style="1" hidden="1" customWidth="1"/>
    <col min="10" max="14" width="11.44140625" style="1"/>
    <col min="15" max="15" width="80.21875" style="1" customWidth="1"/>
  </cols>
  <sheetData>
    <row r="1" spans="1:15" ht="60" customHeight="1" x14ac:dyDescent="0.3">
      <c r="A1" s="105" t="s">
        <v>75</v>
      </c>
      <c r="B1" s="106"/>
      <c r="C1" s="106"/>
      <c r="D1" s="106"/>
      <c r="E1" s="106"/>
      <c r="F1" s="106"/>
      <c r="G1" s="106"/>
      <c r="H1" s="106"/>
      <c r="I1" s="107"/>
      <c r="J1" s="5"/>
      <c r="K1" s="5"/>
      <c r="L1" s="5"/>
      <c r="M1" s="5"/>
      <c r="N1" s="5"/>
      <c r="O1" s="5"/>
    </row>
    <row r="2" spans="1:15" ht="18.75" customHeight="1" thickBot="1" x14ac:dyDescent="0.35">
      <c r="A2" s="6"/>
      <c r="B2" s="7"/>
      <c r="C2" s="7"/>
      <c r="D2" s="7"/>
      <c r="E2" s="7"/>
      <c r="F2" s="7"/>
      <c r="G2" s="7"/>
      <c r="H2" s="7"/>
      <c r="I2" s="7"/>
      <c r="J2" s="5"/>
      <c r="K2" s="5"/>
      <c r="L2" s="5"/>
      <c r="M2" s="5"/>
      <c r="N2" s="5"/>
      <c r="O2" s="5"/>
    </row>
    <row r="3" spans="1:15" ht="15.6" x14ac:dyDescent="0.3">
      <c r="A3" s="5"/>
      <c r="B3" s="5"/>
      <c r="C3" s="12"/>
      <c r="D3" s="13" t="s">
        <v>29</v>
      </c>
      <c r="E3" s="14" t="s">
        <v>37</v>
      </c>
      <c r="F3" s="19" t="s">
        <v>27</v>
      </c>
      <c r="G3" s="8"/>
      <c r="H3" s="5"/>
      <c r="I3" s="5"/>
      <c r="J3" s="5"/>
      <c r="K3" s="5"/>
      <c r="L3" s="5"/>
      <c r="M3" s="5"/>
      <c r="N3" s="5"/>
      <c r="O3" s="5"/>
    </row>
    <row r="4" spans="1:15" ht="15.6" x14ac:dyDescent="0.3">
      <c r="A4" s="5"/>
      <c r="B4" s="5"/>
      <c r="C4" s="15" t="s">
        <v>0</v>
      </c>
      <c r="D4" s="35" t="s">
        <v>4</v>
      </c>
      <c r="E4" s="16" t="s">
        <v>39</v>
      </c>
      <c r="F4" s="20" t="str">
        <f>IF(AND(D4&lt;&gt;"männlich",D4&lt;&gt;"weiblich"),"Fehler!","o.k.")</f>
        <v>o.k.</v>
      </c>
      <c r="G4" s="8"/>
      <c r="H4" s="5"/>
      <c r="I4" s="5"/>
      <c r="J4" s="5"/>
      <c r="K4" s="5"/>
      <c r="L4" s="5"/>
      <c r="M4" s="5"/>
      <c r="N4" s="5"/>
      <c r="O4" s="5"/>
    </row>
    <row r="5" spans="1:15" ht="15.6" x14ac:dyDescent="0.3">
      <c r="A5" s="5"/>
      <c r="B5" s="5"/>
      <c r="C5" s="15" t="s">
        <v>1</v>
      </c>
      <c r="D5" s="33">
        <v>55</v>
      </c>
      <c r="E5" s="16" t="s">
        <v>30</v>
      </c>
      <c r="F5" s="20" t="str">
        <f>IF(OR(D5&lt;19,D5&gt;60),"Fehler!","o.k.")</f>
        <v>o.k.</v>
      </c>
      <c r="G5" s="8"/>
      <c r="H5" s="5"/>
      <c r="I5" s="5"/>
      <c r="J5" s="5"/>
      <c r="K5" s="5"/>
      <c r="L5" s="5"/>
      <c r="M5" s="5"/>
      <c r="N5" s="5"/>
      <c r="O5" s="5"/>
    </row>
    <row r="6" spans="1:15" ht="15.6" x14ac:dyDescent="0.3">
      <c r="A6" s="9"/>
      <c r="B6" s="5"/>
      <c r="C6" s="15" t="s">
        <v>2</v>
      </c>
      <c r="D6" s="33">
        <v>35</v>
      </c>
      <c r="E6" s="16" t="s">
        <v>31</v>
      </c>
      <c r="F6" s="20" t="str">
        <f>IF(OR(D6&lt;1,D6&gt;40),"Fehler!",IF(AND(((D5-D6)&lt;18),D5&gt;18),"Expdauer zu groß","o.k."))</f>
        <v>o.k.</v>
      </c>
      <c r="G6" s="8"/>
      <c r="H6" s="5"/>
      <c r="I6" s="5"/>
      <c r="J6" s="5"/>
      <c r="K6" s="5"/>
      <c r="L6" s="5"/>
      <c r="M6" s="5"/>
      <c r="N6" s="5"/>
      <c r="O6" s="5"/>
    </row>
    <row r="7" spans="1:15" ht="18" x14ac:dyDescent="0.4">
      <c r="A7" s="5"/>
      <c r="B7" s="5"/>
      <c r="C7" s="15" t="s">
        <v>40</v>
      </c>
      <c r="D7" s="33">
        <v>90</v>
      </c>
      <c r="E7" s="16" t="s">
        <v>33</v>
      </c>
      <c r="F7" s="20" t="str">
        <f>IF(OR(D7&gt;100,D7&lt;75),"Fehler!","o.k.")</f>
        <v>o.k.</v>
      </c>
      <c r="G7" s="8"/>
      <c r="H7" s="5"/>
      <c r="I7" s="5"/>
      <c r="J7" s="5"/>
      <c r="K7" s="5"/>
      <c r="L7" s="5"/>
      <c r="M7" s="5"/>
      <c r="N7" s="5"/>
      <c r="O7" s="5"/>
    </row>
    <row r="8" spans="1:15" ht="16.2" thickBot="1" x14ac:dyDescent="0.35">
      <c r="A8" s="5"/>
      <c r="B8" s="5"/>
      <c r="C8" s="17" t="s">
        <v>41</v>
      </c>
      <c r="D8" s="34">
        <v>0.5</v>
      </c>
      <c r="E8" s="18" t="s">
        <v>39</v>
      </c>
      <c r="F8" s="21" t="str">
        <f>IF(AND(D8&lt;&gt;0.05,D8&lt;&gt;0.1,D8&lt;&gt;0.15,D8&lt;&gt;0.2,D8&lt;&gt;0.25,D8&lt;&gt;0.3,D8&lt;&gt;0.35,D8&lt;&gt;0.4,D8&lt;&gt;0.45,D8&lt;&gt;0.5,D8&lt;&gt;0.55,D8&lt;&gt;0.6,D8&lt;&gt;0.65,D8&lt;&gt;0.7,D8&lt;&gt;0.75,D8&lt;&gt;0.8,D8&lt;&gt;0.85,D8&lt;&gt;0.9,D8&lt;&gt;0.95),"Fehler!","o.k.")</f>
        <v>o.k.</v>
      </c>
      <c r="G8" s="8"/>
      <c r="H8" s="5"/>
      <c r="I8" s="5"/>
      <c r="J8" s="5"/>
      <c r="K8" s="5"/>
      <c r="L8" s="5"/>
      <c r="M8" s="5"/>
      <c r="N8" s="5"/>
      <c r="O8" s="5"/>
    </row>
    <row r="9" spans="1:15" ht="15.6" x14ac:dyDescent="0.3">
      <c r="A9" s="5"/>
      <c r="B9" s="5"/>
      <c r="C9" s="8"/>
      <c r="D9" s="8"/>
      <c r="E9" s="8"/>
      <c r="F9" s="8"/>
      <c r="G9" s="8"/>
      <c r="H9" s="5"/>
      <c r="I9" s="5"/>
      <c r="J9" s="5"/>
      <c r="K9" s="5"/>
      <c r="L9" s="5"/>
      <c r="M9" s="5"/>
      <c r="N9" s="5"/>
      <c r="O9" s="5"/>
    </row>
    <row r="10" spans="1:15" ht="15.6" x14ac:dyDescent="0.3">
      <c r="A10" s="36"/>
      <c r="B10" s="5"/>
      <c r="C10" s="8"/>
      <c r="D10" s="8"/>
      <c r="E10" s="8"/>
      <c r="F10" s="8"/>
      <c r="G10" s="8"/>
      <c r="H10" s="5"/>
      <c r="I10" s="5"/>
      <c r="J10" s="5"/>
      <c r="K10" s="5"/>
      <c r="L10" s="5"/>
      <c r="M10" s="5"/>
      <c r="N10" s="5"/>
      <c r="O10" s="5"/>
    </row>
    <row r="11" spans="1:15" ht="15.6" x14ac:dyDescent="0.3">
      <c r="A11" s="5"/>
      <c r="B11" s="5"/>
      <c r="C11" s="8"/>
      <c r="D11" s="8"/>
      <c r="E11" s="8"/>
      <c r="F11" s="8"/>
      <c r="G11" s="8"/>
      <c r="H11" s="5"/>
      <c r="I11" s="5"/>
      <c r="J11" s="5"/>
      <c r="K11" s="5"/>
      <c r="L11" s="5"/>
      <c r="M11" s="5"/>
      <c r="N11" s="5"/>
      <c r="O11" s="5"/>
    </row>
    <row r="12" spans="1:15" ht="15.6" x14ac:dyDescent="0.3">
      <c r="A12" s="5"/>
      <c r="B12" s="5"/>
      <c r="C12" s="8"/>
      <c r="D12" s="8"/>
      <c r="E12" s="8"/>
      <c r="F12" s="8"/>
      <c r="G12" s="8"/>
      <c r="H12" s="5"/>
      <c r="I12" s="5"/>
      <c r="J12" s="5"/>
      <c r="K12" s="5"/>
      <c r="L12" s="5"/>
      <c r="M12" s="5"/>
      <c r="N12" s="5"/>
      <c r="O12" s="5"/>
    </row>
    <row r="13" spans="1:15" ht="15.6" x14ac:dyDescent="0.3">
      <c r="A13" s="5"/>
      <c r="B13" s="5"/>
      <c r="C13" s="8"/>
      <c r="D13" s="8"/>
      <c r="E13" s="8"/>
      <c r="F13" s="8"/>
      <c r="G13" s="8"/>
      <c r="H13" s="5"/>
      <c r="I13" s="5"/>
      <c r="J13" s="5"/>
      <c r="K13" s="5"/>
      <c r="L13" s="5"/>
      <c r="M13" s="5"/>
      <c r="N13" s="5"/>
      <c r="O13" s="5"/>
    </row>
    <row r="14" spans="1:15" ht="15.6" x14ac:dyDescent="0.3">
      <c r="A14" s="5"/>
      <c r="B14" s="5"/>
      <c r="C14" s="8"/>
      <c r="D14" s="8"/>
      <c r="E14" s="8"/>
      <c r="F14" s="8"/>
      <c r="G14" s="8"/>
      <c r="H14" s="5"/>
      <c r="I14" s="5"/>
      <c r="J14" s="5"/>
      <c r="K14" s="5"/>
      <c r="L14" s="5"/>
      <c r="M14" s="5"/>
      <c r="N14" s="5"/>
      <c r="O14" s="5"/>
    </row>
    <row r="15" spans="1:15" ht="15.6" x14ac:dyDescent="0.3">
      <c r="A15" s="5"/>
      <c r="B15" s="5"/>
      <c r="C15" s="8"/>
      <c r="D15" s="8"/>
      <c r="E15" s="8"/>
      <c r="F15" s="8"/>
      <c r="G15" s="8"/>
      <c r="H15" s="5"/>
      <c r="I15" s="5"/>
      <c r="J15" s="5"/>
      <c r="K15" s="5"/>
      <c r="L15" s="5"/>
      <c r="M15" s="5"/>
      <c r="N15" s="5"/>
      <c r="O15" s="5"/>
    </row>
    <row r="16" spans="1:15" ht="15.6" x14ac:dyDescent="0.3">
      <c r="A16" s="5"/>
      <c r="B16" s="5"/>
      <c r="C16" s="8"/>
      <c r="D16" s="8"/>
      <c r="E16" s="8"/>
      <c r="F16" s="8"/>
      <c r="G16" s="8"/>
      <c r="H16" s="5"/>
      <c r="I16" s="5"/>
      <c r="J16" s="5"/>
      <c r="K16" s="5"/>
      <c r="L16" s="5"/>
      <c r="M16" s="5"/>
      <c r="N16" s="5"/>
      <c r="O16" s="5"/>
    </row>
    <row r="17" spans="1:15" ht="15.6" x14ac:dyDescent="0.3">
      <c r="A17" s="45" t="s">
        <v>43</v>
      </c>
      <c r="B17" s="5"/>
      <c r="C17" s="8"/>
      <c r="D17" s="8"/>
      <c r="E17" s="8"/>
      <c r="F17" s="8"/>
      <c r="G17" s="8"/>
      <c r="H17" s="5"/>
      <c r="I17" s="5"/>
      <c r="J17" s="5"/>
      <c r="K17" s="5"/>
      <c r="L17" s="5"/>
      <c r="M17" s="5"/>
      <c r="N17" s="5"/>
      <c r="O17" s="5"/>
    </row>
    <row r="18" spans="1:15" ht="15.6" x14ac:dyDescent="0.3">
      <c r="A18" s="5"/>
      <c r="B18" s="5"/>
      <c r="C18" s="8"/>
      <c r="D18" s="8"/>
      <c r="E18" s="8"/>
      <c r="F18" s="8"/>
      <c r="G18" s="8"/>
      <c r="H18" s="5"/>
      <c r="I18" s="5"/>
      <c r="J18" s="5"/>
      <c r="K18" s="5"/>
      <c r="L18" s="5"/>
      <c r="M18" s="5"/>
      <c r="N18" s="5"/>
      <c r="O18" s="5"/>
    </row>
    <row r="19" spans="1:15" ht="15.6" x14ac:dyDescent="0.3">
      <c r="A19" s="5"/>
      <c r="B19" s="5"/>
      <c r="C19" s="8"/>
      <c r="D19" s="8"/>
      <c r="E19" s="8"/>
      <c r="F19" s="8"/>
      <c r="G19" s="8"/>
      <c r="H19" s="5"/>
      <c r="I19" s="5"/>
      <c r="J19" s="5"/>
      <c r="K19" s="5"/>
      <c r="L19" s="5"/>
      <c r="M19" s="5"/>
      <c r="N19" s="5"/>
      <c r="O19" s="5"/>
    </row>
    <row r="20" spans="1:15" ht="15.6" x14ac:dyDescent="0.3">
      <c r="A20" s="5"/>
      <c r="B20" s="5"/>
      <c r="C20" s="8"/>
      <c r="D20" s="8"/>
      <c r="E20" s="8"/>
      <c r="F20" s="8"/>
      <c r="G20" s="8"/>
      <c r="H20" s="5"/>
      <c r="I20" s="5"/>
      <c r="J20" s="5"/>
      <c r="K20" s="5"/>
      <c r="L20" s="5"/>
      <c r="M20" s="5"/>
      <c r="N20" s="5"/>
      <c r="O20" s="5"/>
    </row>
    <row r="21" spans="1:15" ht="15.6" x14ac:dyDescent="0.3">
      <c r="A21" s="5"/>
      <c r="B21" s="5"/>
      <c r="C21" s="8"/>
      <c r="D21" s="8"/>
      <c r="E21" s="8"/>
      <c r="F21" s="8"/>
      <c r="G21" s="8"/>
      <c r="H21" s="5"/>
      <c r="I21" s="5"/>
      <c r="J21" s="5"/>
      <c r="K21" s="5"/>
      <c r="L21" s="5"/>
      <c r="M21" s="5"/>
      <c r="N21" s="5"/>
      <c r="O21" s="5"/>
    </row>
    <row r="22" spans="1:15" ht="15.6" x14ac:dyDescent="0.3">
      <c r="A22" s="5"/>
      <c r="B22" s="5"/>
      <c r="C22" s="8"/>
      <c r="D22" s="8"/>
      <c r="E22" s="8"/>
      <c r="F22" s="8"/>
      <c r="G22" s="8"/>
      <c r="H22" s="5"/>
      <c r="I22" s="5"/>
      <c r="J22" s="5"/>
      <c r="K22" s="5"/>
      <c r="L22" s="5"/>
      <c r="M22" s="5"/>
      <c r="N22" s="5"/>
      <c r="O22" s="5"/>
    </row>
    <row r="23" spans="1:15" ht="15.6" x14ac:dyDescent="0.3">
      <c r="A23" s="5"/>
      <c r="B23" s="5"/>
      <c r="C23" s="8"/>
      <c r="D23" s="8"/>
      <c r="E23" s="8"/>
      <c r="F23" s="8"/>
      <c r="G23" s="8"/>
      <c r="H23" s="5"/>
      <c r="I23" s="5"/>
      <c r="J23" s="5"/>
      <c r="K23" s="5"/>
      <c r="L23" s="5"/>
      <c r="M23" s="5"/>
      <c r="N23" s="5"/>
      <c r="O23" s="5"/>
    </row>
    <row r="24" spans="1:15" ht="15.6" x14ac:dyDescent="0.3">
      <c r="A24" s="5"/>
      <c r="B24" s="5"/>
      <c r="C24" s="8"/>
      <c r="D24" s="8"/>
      <c r="E24" s="8"/>
      <c r="F24" s="8"/>
      <c r="G24" s="8"/>
      <c r="H24" s="5"/>
      <c r="I24" s="5"/>
      <c r="J24" s="5"/>
      <c r="K24" s="5"/>
      <c r="L24" s="5"/>
      <c r="M24" s="5"/>
      <c r="N24" s="5"/>
      <c r="O24" s="5"/>
    </row>
    <row r="25" spans="1:15" ht="15.6" x14ac:dyDescent="0.3">
      <c r="A25" s="5"/>
      <c r="B25" s="5"/>
      <c r="C25" s="8"/>
      <c r="D25" s="8"/>
      <c r="E25" s="8"/>
      <c r="F25" s="8"/>
      <c r="G25" s="8"/>
      <c r="H25" s="5"/>
      <c r="I25" s="5"/>
      <c r="J25" s="5"/>
      <c r="K25" s="5"/>
      <c r="L25" s="5"/>
      <c r="M25" s="5"/>
      <c r="N25" s="5"/>
      <c r="O25" s="5"/>
    </row>
    <row r="26" spans="1:15" ht="15.6" x14ac:dyDescent="0.3">
      <c r="A26" s="5"/>
      <c r="B26" s="5"/>
      <c r="C26" s="8"/>
      <c r="D26" s="8"/>
      <c r="E26" s="8"/>
      <c r="F26" s="8"/>
      <c r="G26" s="8"/>
      <c r="H26" s="5"/>
      <c r="I26" s="5"/>
      <c r="J26" s="5"/>
      <c r="K26" s="5"/>
      <c r="L26" s="5"/>
      <c r="M26" s="5"/>
      <c r="N26" s="5"/>
      <c r="O26" s="5"/>
    </row>
    <row r="27" spans="1:15" ht="43.8" customHeight="1" thickBot="1" x14ac:dyDescent="0.3">
      <c r="A27" s="5"/>
      <c r="B27" s="5"/>
      <c r="C27" s="10"/>
      <c r="D27" s="10"/>
      <c r="E27" s="10"/>
      <c r="F27" s="10"/>
      <c r="G27" s="10"/>
      <c r="H27" s="5"/>
      <c r="I27" s="5"/>
      <c r="J27" s="5"/>
      <c r="K27" s="5"/>
      <c r="L27" s="5"/>
      <c r="M27" s="5"/>
      <c r="N27" s="5"/>
      <c r="O27" s="5"/>
    </row>
    <row r="28" spans="1:15" ht="27.6" customHeight="1" x14ac:dyDescent="0.25">
      <c r="A28" s="5"/>
      <c r="B28" s="5"/>
      <c r="C28" s="22" t="s">
        <v>3</v>
      </c>
      <c r="D28" s="108" t="s">
        <v>28</v>
      </c>
      <c r="E28" s="109" t="s">
        <v>8</v>
      </c>
      <c r="F28" s="43" t="s">
        <v>26</v>
      </c>
      <c r="G28" s="11"/>
      <c r="H28" s="5"/>
      <c r="I28" s="5"/>
      <c r="J28" s="5"/>
      <c r="K28" s="5"/>
      <c r="L28" s="5"/>
      <c r="M28" s="5"/>
      <c r="N28" s="5"/>
      <c r="O28" s="5"/>
    </row>
    <row r="29" spans="1:15" x14ac:dyDescent="0.25">
      <c r="A29" s="5"/>
      <c r="B29" s="5"/>
      <c r="C29" s="23" t="s">
        <v>36</v>
      </c>
      <c r="D29" s="24" t="s">
        <v>35</v>
      </c>
      <c r="E29" s="25" t="s">
        <v>35</v>
      </c>
      <c r="F29" s="44"/>
      <c r="G29" s="40"/>
      <c r="H29" s="41"/>
      <c r="I29" s="41"/>
      <c r="J29" s="41"/>
      <c r="K29" s="41"/>
      <c r="L29" s="41"/>
      <c r="M29" s="41"/>
      <c r="N29" s="41"/>
      <c r="O29" s="41"/>
    </row>
    <row r="30" spans="1:15" x14ac:dyDescent="0.25">
      <c r="A30" s="5"/>
      <c r="B30" s="5"/>
      <c r="C30" s="23">
        <v>125</v>
      </c>
      <c r="D30" s="26"/>
      <c r="E30" s="27">
        <f>'ISO 7029_2017'!B5</f>
        <v>2.6387778553090961</v>
      </c>
      <c r="F30" s="48"/>
      <c r="G30" s="40"/>
      <c r="H30" s="41"/>
      <c r="I30" s="41"/>
      <c r="J30" s="41"/>
      <c r="K30" s="41"/>
      <c r="L30" s="41"/>
      <c r="M30" s="41"/>
      <c r="N30" s="41"/>
      <c r="O30" s="41"/>
    </row>
    <row r="31" spans="1:15" x14ac:dyDescent="0.25">
      <c r="A31" s="5"/>
      <c r="B31" s="5"/>
      <c r="C31" s="23">
        <v>250</v>
      </c>
      <c r="D31" s="26"/>
      <c r="E31" s="27">
        <f>'ISO 7029_2017'!B6</f>
        <v>3.8385047539431412</v>
      </c>
      <c r="F31" s="48"/>
      <c r="G31" s="40"/>
      <c r="H31" s="41"/>
      <c r="I31" s="41"/>
      <c r="J31" s="41"/>
      <c r="K31" s="41"/>
      <c r="L31" s="41"/>
      <c r="M31" s="41"/>
      <c r="N31" s="41"/>
      <c r="O31" s="41"/>
    </row>
    <row r="32" spans="1:15" x14ac:dyDescent="0.25">
      <c r="A32" s="5"/>
      <c r="B32" s="5"/>
      <c r="C32" s="23">
        <v>500</v>
      </c>
      <c r="D32" s="26">
        <f>E32+F32-E32*F32/120</f>
        <v>4.3685816730104117</v>
      </c>
      <c r="E32" s="27">
        <f>'ISO 7029_2017'!B7</f>
        <v>4.3685816730104117</v>
      </c>
      <c r="F32" s="44">
        <f>IF('N (durch Lärm)'!D29&lt;0,0,'N (durch Lärm)'!D29)</f>
        <v>0</v>
      </c>
      <c r="G32" s="40"/>
      <c r="H32" s="41"/>
      <c r="I32" s="41"/>
      <c r="J32" s="41"/>
      <c r="K32" s="41"/>
      <c r="L32" s="41"/>
      <c r="M32" s="41"/>
      <c r="N32" s="41"/>
      <c r="O32" s="41"/>
    </row>
    <row r="33" spans="1:15" x14ac:dyDescent="0.25">
      <c r="A33" s="5"/>
      <c r="B33" s="5"/>
      <c r="C33" s="23">
        <v>750</v>
      </c>
      <c r="D33" s="46">
        <f>D32+(D34-D32)*(LOG(750)-LOG(500))/(LOG(1000)-LOG(500))</f>
        <v>5.2084594913215332</v>
      </c>
      <c r="E33" s="27">
        <f>'ISO 7029_2017'!B8</f>
        <v>4.9567565200640589</v>
      </c>
      <c r="F33" s="44"/>
      <c r="G33" s="40"/>
      <c r="H33" s="41"/>
      <c r="I33" s="41"/>
      <c r="J33" s="41"/>
      <c r="K33" s="41"/>
      <c r="L33" s="41"/>
      <c r="M33" s="41"/>
      <c r="N33" s="41"/>
      <c r="O33" s="41"/>
    </row>
    <row r="34" spans="1:15" x14ac:dyDescent="0.25">
      <c r="A34" s="5"/>
      <c r="B34" s="5"/>
      <c r="C34" s="23">
        <v>1000</v>
      </c>
      <c r="D34" s="26">
        <f>E34+F34-E34*F34/120</f>
        <v>5.8043622867688986</v>
      </c>
      <c r="E34" s="27">
        <f>'ISO 7029_2017'!B9</f>
        <v>5.720476580534724</v>
      </c>
      <c r="F34" s="44">
        <f>IF('N (durch Lärm)'!D30&lt;0,0,'N (durch Lärm)'!D30)</f>
        <v>8.8084763104519292E-2</v>
      </c>
      <c r="G34" s="40"/>
      <c r="H34" s="41"/>
      <c r="I34" s="41"/>
      <c r="J34" s="41"/>
      <c r="K34" s="41"/>
      <c r="L34" s="41"/>
      <c r="M34" s="41"/>
      <c r="N34" s="41"/>
      <c r="O34" s="41"/>
    </row>
    <row r="35" spans="1:15" x14ac:dyDescent="0.25">
      <c r="A35" s="5"/>
      <c r="B35" s="5"/>
      <c r="C35" s="23">
        <v>1500</v>
      </c>
      <c r="D35" s="46">
        <f>D34+(D36-D34)*(LOG(1500)-LOG(1000))/(LOG(2000)-LOG(1000))</f>
        <v>10.856067865619144</v>
      </c>
      <c r="E35" s="27">
        <f>'ISO 7029_2017'!B10</f>
        <v>7.4687498689600682</v>
      </c>
      <c r="F35" s="44"/>
      <c r="G35" s="40"/>
      <c r="H35" s="41"/>
      <c r="I35" s="41"/>
      <c r="J35" s="41"/>
      <c r="K35" s="41"/>
      <c r="L35" s="41"/>
      <c r="M35" s="41"/>
      <c r="N35" s="41"/>
      <c r="O35" s="41"/>
    </row>
    <row r="36" spans="1:15" x14ac:dyDescent="0.25">
      <c r="A36" s="5"/>
      <c r="B36" s="5"/>
      <c r="C36" s="23">
        <v>2000</v>
      </c>
      <c r="D36" s="26">
        <f>E36+F36-E36*F36/120</f>
        <v>14.440310014396525</v>
      </c>
      <c r="E36" s="27">
        <f>'ISO 7029_2017'!B11</f>
        <v>9.1850503854562593</v>
      </c>
      <c r="F36" s="44">
        <f>IF('N (durch Lärm)'!D32&lt;0,0,'N (durch Lärm)'!D32)</f>
        <v>5.6908490927118178</v>
      </c>
      <c r="G36" s="40"/>
      <c r="H36" s="41"/>
      <c r="I36" s="41"/>
      <c r="J36" s="41"/>
      <c r="K36" s="41"/>
      <c r="L36" s="41"/>
      <c r="M36" s="41"/>
      <c r="N36" s="41"/>
      <c r="O36" s="41"/>
    </row>
    <row r="37" spans="1:15" x14ac:dyDescent="0.25">
      <c r="A37" s="5"/>
      <c r="B37" s="5"/>
      <c r="C37" s="23">
        <v>3000</v>
      </c>
      <c r="D37" s="26">
        <f>E37+F37-E37*F37/120</f>
        <v>22.790726100442708</v>
      </c>
      <c r="E37" s="27">
        <f>'ISO 7029_2017'!B12</f>
        <v>12.305740942277879</v>
      </c>
      <c r="F37" s="44">
        <f>IF('N (durch Lärm)'!D33&lt;0,0,'N (durch Lärm)'!D33)</f>
        <v>11.683057481322273</v>
      </c>
      <c r="G37" s="40"/>
      <c r="H37" s="41"/>
      <c r="I37" s="41"/>
      <c r="J37" s="41"/>
      <c r="K37" s="41"/>
      <c r="L37" s="41"/>
      <c r="M37" s="41"/>
      <c r="N37" s="41"/>
      <c r="O37" s="41"/>
    </row>
    <row r="38" spans="1:15" x14ac:dyDescent="0.25">
      <c r="A38" s="5"/>
      <c r="B38" s="5"/>
      <c r="C38" s="23">
        <v>4000</v>
      </c>
      <c r="D38" s="26">
        <f>E38+F38-E38*F38/120</f>
        <v>27.565970974280887</v>
      </c>
      <c r="E38" s="27">
        <f>'ISO 7029_2017'!B13</f>
        <v>15.050395945769196</v>
      </c>
      <c r="F38" s="44">
        <f>IF('N (durch Lärm)'!D34&lt;0,0,'N (durch Lärm)'!D34)</f>
        <v>14.3103827494703</v>
      </c>
      <c r="G38" s="40"/>
      <c r="H38" s="41"/>
      <c r="I38" s="41"/>
      <c r="J38" s="41"/>
      <c r="K38" s="41"/>
      <c r="L38" s="41"/>
      <c r="M38" s="41"/>
      <c r="N38" s="41"/>
      <c r="O38" s="41"/>
    </row>
    <row r="39" spans="1:15" x14ac:dyDescent="0.25">
      <c r="A39" s="5"/>
      <c r="B39" s="5"/>
      <c r="C39" s="23">
        <v>6000</v>
      </c>
      <c r="D39" s="26">
        <f>E39+F39-E39*F39/120</f>
        <v>27.288067062787793</v>
      </c>
      <c r="E39" s="27">
        <f>'ISO 7029_2017'!B14</f>
        <v>19.341279156229874</v>
      </c>
      <c r="F39" s="44">
        <f>IF('N (durch Lärm)'!D35&lt;0,0,'N (durch Lärm)'!D35)</f>
        <v>9.4737399878847182</v>
      </c>
      <c r="G39" s="40"/>
      <c r="H39" s="41"/>
      <c r="I39" s="41"/>
      <c r="J39" s="41"/>
      <c r="K39" s="41"/>
      <c r="L39" s="41"/>
      <c r="M39" s="41"/>
      <c r="N39" s="41"/>
      <c r="O39" s="41"/>
    </row>
    <row r="40" spans="1:15" ht="13.8" thickBot="1" x14ac:dyDescent="0.3">
      <c r="A40" s="5"/>
      <c r="B40" s="41"/>
      <c r="C40" s="28">
        <v>8000</v>
      </c>
      <c r="D40" s="29"/>
      <c r="E40" s="30">
        <f>'ISO 7029_2017'!B15</f>
        <v>22.642487177239428</v>
      </c>
      <c r="F40" s="48"/>
      <c r="G40" s="42"/>
      <c r="H40" s="41"/>
      <c r="I40" s="41"/>
      <c r="J40" s="41"/>
      <c r="K40" s="41"/>
      <c r="L40" s="41"/>
      <c r="M40" s="41"/>
      <c r="N40" s="41"/>
      <c r="O40" s="41"/>
    </row>
    <row r="41" spans="1:15" x14ac:dyDescent="0.25">
      <c r="A41" s="41"/>
      <c r="B41" s="41"/>
      <c r="C41" s="42"/>
      <c r="D41" s="42"/>
      <c r="E41" s="42"/>
      <c r="F41" s="42"/>
      <c r="G41" s="41"/>
      <c r="H41" s="41"/>
      <c r="I41" s="41"/>
      <c r="J41" s="41"/>
      <c r="K41" s="41"/>
      <c r="L41" s="41"/>
      <c r="M41" s="41"/>
      <c r="N41" s="41"/>
      <c r="O41" s="41"/>
    </row>
    <row r="42" spans="1:15" x14ac:dyDescent="0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</row>
    <row r="43" spans="1:15" x14ac:dyDescent="0.2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</row>
    <row r="44" spans="1:15" x14ac:dyDescent="0.2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</row>
    <row r="45" spans="1:15" x14ac:dyDescent="0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</row>
    <row r="46" spans="1:15" x14ac:dyDescent="0.25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  <row r="47" spans="1:15" x14ac:dyDescent="0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2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  <row r="49" spans="1:15" x14ac:dyDescent="0.25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  <row r="50" spans="1:15" x14ac:dyDescent="0.25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  <row r="51" spans="1:15" x14ac:dyDescent="0.25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  <row r="52" spans="1:15" x14ac:dyDescent="0.25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  <row r="53" spans="1:15" x14ac:dyDescent="0.25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  <row r="54" spans="1:15" x14ac:dyDescent="0.25">
      <c r="A54" s="41"/>
      <c r="B54" s="41"/>
      <c r="C54" s="41"/>
      <c r="D54" s="41"/>
      <c r="E54" s="41"/>
      <c r="F54" s="41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25">
      <c r="A55" s="41"/>
      <c r="B55" s="41"/>
      <c r="C55" s="41"/>
      <c r="D55" s="41"/>
      <c r="E55" s="41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41"/>
      <c r="B56" s="5"/>
      <c r="C56" s="41"/>
      <c r="D56" s="41"/>
      <c r="E56" s="41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1:1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1:1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1:1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1:1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1:1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pans="1:1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1:1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pans="1:1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1:1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spans="1:1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spans="1:1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spans="1:1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spans="1:1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pans="1:1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1:1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pans="1:1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spans="1:1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1:1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pans="1:1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1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1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1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1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1:1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1:1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1:1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pans="1:1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pans="1:1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1:1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1:1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1:1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1:1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1:1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1:1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pans="1:1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1:1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1:1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1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pans="1:1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pans="1:1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1:1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1:1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spans="1:1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spans="1:1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spans="1:1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x14ac:dyDescent="0.25">
      <c r="A201" s="5"/>
      <c r="C201" s="5"/>
      <c r="D201" s="5"/>
      <c r="E201" s="5"/>
      <c r="F201" s="5"/>
    </row>
  </sheetData>
  <sheetProtection algorithmName="SHA-512" hashValue="RpGwui4bttsXCzifqi2IEA4ZlyrgHZ1+P5/oRtDm1IxXEb8ThM0USYprFNStpoi2U5QwLBuBXBdsRaDJpEYTqg==" saltValue="8yI8Wx7KxXnx1GUmzmwexw==" spinCount="100000" sheet="1" selectLockedCells="1"/>
  <mergeCells count="1">
    <mergeCell ref="A1:I1"/>
  </mergeCells>
  <phoneticPr fontId="1" type="noConversion"/>
  <conditionalFormatting sqref="F4:F8">
    <cfRule type="cellIs" dxfId="0" priority="1" stopIfTrue="1" operator="notEqual">
      <formula>"o.k."</formula>
    </cfRule>
  </conditionalFormatting>
  <dataValidations xWindow="720" yWindow="287" count="2">
    <dataValidation type="list" allowBlank="1" showInputMessage="1" showErrorMessage="1" errorTitle="Geschlecht" error="Bitte eine gültige Eingabe zum Geschlecht mittels Pop-up Menu auswählen - vorher bitte direkt unterhalb dieser Meldung &quot;Abbrechen&quot; wählen" promptTitle="Geschlecht" prompt="Bitte Geschlecht mittels Pop-up Menu rechts vom aktivierten Eingabefeld auswählen" sqref="D4" xr:uid="{00000000-0002-0000-0000-000000000000}">
      <formula1>MW</formula1>
    </dataValidation>
    <dataValidation type="list" allowBlank="1" showInputMessage="1" showErrorMessage="1" errorTitle="Perzentil" error="Bitte mittels Pop-up Menu gültige Perzentile auswählen - vorher bitte direkt unterhalb dieser Meldung &quot;Abbrechen&quot; wählen" promptTitle="Fraktil" prompt="Bitte Fraktil mittels Pop-up Menu rechts vom aktivierten Eingabefeld auswählen" sqref="D8" xr:uid="{00000000-0002-0000-0000-000001000000}">
      <formula1>Fraktil</formula1>
    </dataValidation>
  </dataValidations>
  <pageMargins left="0.78740157499999996" right="0.78740157499999996" top="0.984251969" bottom="0.984251969" header="0.4921259845" footer="0.4921259845"/>
  <pageSetup paperSize="9" orientation="landscape" r:id="rId1"/>
  <headerFooter alignWithMargins="0"/>
  <ignoredErrors>
    <ignoredError sqref="D33 D3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Z100"/>
  <sheetViews>
    <sheetView zoomScale="75" workbookViewId="0">
      <selection activeCell="G7" sqref="G7"/>
    </sheetView>
  </sheetViews>
  <sheetFormatPr baseColWidth="10" defaultRowHeight="13.2" x14ac:dyDescent="0.25"/>
  <cols>
    <col min="2" max="2" width="106.44140625" customWidth="1"/>
  </cols>
  <sheetData>
    <row r="1" spans="1:26" ht="29.4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61.8" customHeight="1" x14ac:dyDescent="0.3">
      <c r="A2" s="5"/>
      <c r="B2" s="31" t="s">
        <v>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62.4" customHeight="1" x14ac:dyDescent="0.3">
      <c r="A3" s="5"/>
      <c r="B3" s="32" t="s">
        <v>32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42.6" customHeight="1" x14ac:dyDescent="0.3">
      <c r="A4" s="5"/>
      <c r="B4" s="32" t="s">
        <v>34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82.2" customHeight="1" x14ac:dyDescent="0.3">
      <c r="A5" s="5"/>
      <c r="B5" s="39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9.6" customHeight="1" x14ac:dyDescent="0.3">
      <c r="A6" s="5"/>
      <c r="B6" s="3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75.2" customHeight="1" x14ac:dyDescent="0.25">
      <c r="A7" s="5"/>
      <c r="B7" s="38" t="s">
        <v>77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5">
      <c r="A18" s="5"/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</sheetData>
  <sheetProtection algorithmName="SHA-512" hashValue="l328FQJDxE7e8KVI/jiff4m7ZKXZn264W3rFMzRhhJKEwDC1+oFiMTuHm6tZ/E9zy4zW3XoESdJy4bQbUy/T5Q==" saltValue="oXUijcYO4IQLvWDEyZ9IrQ==" spinCount="100000" sheet="1" selectLockedCells="1" selectUnlockedCells="1"/>
  <phoneticPr fontId="1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F8A4D-4D76-45F6-A29C-58A32AF896B2}">
  <dimension ref="A1:AL87"/>
  <sheetViews>
    <sheetView workbookViewId="0">
      <selection activeCell="A24" sqref="A24"/>
    </sheetView>
  </sheetViews>
  <sheetFormatPr baseColWidth="10" defaultRowHeight="13.8" x14ac:dyDescent="0.25"/>
  <cols>
    <col min="1" max="5" width="11.5546875" style="47"/>
    <col min="6" max="6" width="11.33203125" style="47" customWidth="1"/>
    <col min="7" max="16384" width="11.5546875" style="47"/>
  </cols>
  <sheetData>
    <row r="1" spans="1:38" ht="14.4" thickTop="1" x14ac:dyDescent="0.25">
      <c r="A1" s="61" t="s">
        <v>70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3"/>
      <c r="AC1" s="49"/>
      <c r="AD1" s="49"/>
      <c r="AE1" s="49"/>
      <c r="AF1" s="49"/>
      <c r="AG1" s="49"/>
      <c r="AH1" s="49"/>
      <c r="AI1" s="49"/>
      <c r="AJ1" s="49"/>
      <c r="AK1" s="49"/>
      <c r="AL1" s="49"/>
    </row>
    <row r="2" spans="1:38" x14ac:dyDescent="0.25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6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38" x14ac:dyDescent="0.25">
      <c r="A3" s="64"/>
      <c r="B3" s="65"/>
      <c r="C3" s="65"/>
      <c r="D3" s="65"/>
      <c r="E3" s="65"/>
      <c r="F3" s="65"/>
      <c r="G3" s="65"/>
      <c r="H3" s="67" t="s">
        <v>44</v>
      </c>
      <c r="I3" s="67" t="s">
        <v>45</v>
      </c>
      <c r="J3" s="67" t="s">
        <v>45</v>
      </c>
      <c r="K3" s="67" t="s">
        <v>46</v>
      </c>
      <c r="L3" s="67" t="s">
        <v>46</v>
      </c>
      <c r="M3" s="65"/>
      <c r="N3" s="68" t="s">
        <v>47</v>
      </c>
      <c r="O3" s="69" t="s">
        <v>48</v>
      </c>
      <c r="P3" s="69" t="s">
        <v>49</v>
      </c>
      <c r="Q3" s="69" t="s">
        <v>50</v>
      </c>
      <c r="R3" s="69" t="s">
        <v>51</v>
      </c>
      <c r="S3" s="69" t="s">
        <v>52</v>
      </c>
      <c r="T3" s="70" t="s">
        <v>53</v>
      </c>
      <c r="U3" s="65"/>
      <c r="V3" s="68" t="s">
        <v>47</v>
      </c>
      <c r="W3" s="69" t="s">
        <v>54</v>
      </c>
      <c r="X3" s="69" t="s">
        <v>55</v>
      </c>
      <c r="Y3" s="69" t="s">
        <v>56</v>
      </c>
      <c r="Z3" s="69" t="s">
        <v>57</v>
      </c>
      <c r="AA3" s="69" t="s">
        <v>58</v>
      </c>
      <c r="AB3" s="71" t="s">
        <v>59</v>
      </c>
      <c r="AC3" s="49"/>
      <c r="AD3" s="49"/>
      <c r="AE3" s="49"/>
      <c r="AF3" s="49"/>
      <c r="AG3" s="49"/>
      <c r="AH3" s="49"/>
      <c r="AI3" s="49"/>
      <c r="AJ3" s="49"/>
      <c r="AK3" s="49"/>
      <c r="AL3" s="49"/>
    </row>
    <row r="4" spans="1:38" x14ac:dyDescent="0.25">
      <c r="A4" s="72" t="str">
        <f>H3</f>
        <v>Frequency Hz</v>
      </c>
      <c r="B4" s="67" t="s">
        <v>74</v>
      </c>
      <c r="C4" s="65"/>
      <c r="D4" s="67" t="s">
        <v>71</v>
      </c>
      <c r="E4" s="67" t="s">
        <v>72</v>
      </c>
      <c r="F4" s="67" t="s">
        <v>73</v>
      </c>
      <c r="G4" s="65"/>
      <c r="H4" s="67"/>
      <c r="I4" s="67" t="s">
        <v>60</v>
      </c>
      <c r="J4" s="67" t="s">
        <v>61</v>
      </c>
      <c r="K4" s="67" t="s">
        <v>62</v>
      </c>
      <c r="L4" s="67" t="s">
        <v>61</v>
      </c>
      <c r="M4" s="65"/>
      <c r="N4" s="73">
        <v>125</v>
      </c>
      <c r="O4" s="74">
        <v>4.6289999999999996</v>
      </c>
      <c r="P4" s="75">
        <v>0.64470000000000005</v>
      </c>
      <c r="Q4" s="75">
        <v>-8.8489999999999999E-2</v>
      </c>
      <c r="R4" s="75">
        <v>3.6909999999999998E-3</v>
      </c>
      <c r="S4" s="75">
        <v>-5.9759999999999997E-5</v>
      </c>
      <c r="T4" s="76">
        <v>3.3939999999999998E-7</v>
      </c>
      <c r="U4" s="65"/>
      <c r="V4" s="77">
        <v>125</v>
      </c>
      <c r="W4" s="78">
        <v>3.3359999999999999</v>
      </c>
      <c r="X4" s="79">
        <v>0.13070000000000001</v>
      </c>
      <c r="Y4" s="80">
        <v>-2.0250000000000001E-2</v>
      </c>
      <c r="Z4" s="81">
        <v>1.1199999999999999E-3</v>
      </c>
      <c r="AA4" s="80">
        <v>-2.281E-5</v>
      </c>
      <c r="AB4" s="82">
        <v>1.568E-7</v>
      </c>
      <c r="AC4" s="49"/>
      <c r="AD4" s="49"/>
      <c r="AE4" s="49"/>
      <c r="AF4" s="49"/>
      <c r="AG4" s="49"/>
      <c r="AH4" s="49"/>
      <c r="AI4" s="49"/>
      <c r="AJ4" s="49"/>
      <c r="AK4" s="49"/>
      <c r="AL4" s="49"/>
    </row>
    <row r="5" spans="1:38" x14ac:dyDescent="0.25">
      <c r="A5" s="83">
        <f>H5</f>
        <v>125</v>
      </c>
      <c r="B5" s="84">
        <f>IF(AND('ISO 1999'!$F$4="o.k.",'ISO 1999'!$F$5="o.k.",'ISO 1999'!$F$6="o.k.",'ISO 1999'!$F$7="o.k.",'ISO 1999'!$F$8="o.k."),IF('ISO 1999'!$D$8&lt;=0.5,D5+'N (durch Lärm)'!$D$38*E5,D5-'N (durch Lärm)'!$D$38*F5),0)</f>
        <v>2.6387778553090961</v>
      </c>
      <c r="C5" s="65"/>
      <c r="D5" s="84">
        <f>IF('ISO 1999'!$D$4="männlich",I5*('ISO 1999'!$D$5-18)^K5,J5*('ISO 1999'!$D$5-18)^L5)</f>
        <v>2.6387778553090961</v>
      </c>
      <c r="E5" s="84">
        <f>IF('ISO 1999'!$D$4="männlich",O4+P4*('ISO 1999'!$D$5-18)+Q4*('ISO 1999'!$D$5-18)^2+R4*('ISO 1999'!$D$5-18)^3+S4*('ISO 1999'!$D$5-18)^4+T4*('ISO 1999'!$D$5-18)^5,O18+P18*('ISO 1999'!$D$5-18)+Q18*('ISO 1999'!$D$5-18)^2+R18*('ISO 1999'!$D$5-18)^3+S18*('ISO 1999'!$D$5-18)^4+T18*('ISO 1999'!$D$5-18)^5)</f>
        <v>5.8357906457999889</v>
      </c>
      <c r="F5" s="84">
        <f>IF('ISO 1999'!$D$4="männlich",W4+X4*('ISO 1999'!$D$5-18)+Y4*('ISO 1999'!$D$5-18)^2+Z4*('ISO 1999'!$D$5-18)^3+AA4*('ISO 1999'!$D$5-18)^4+AB4*('ISO 1999'!$D$5-18)^5,W18+X18*('ISO 1999'!$D$5-18)+Y18*('ISO 1999'!$D$5-18)^2+Z18*('ISO 1999'!$D$5-18)^3+AA18*('ISO 1999'!$D$5-18)^4+AB18*('ISO 1999'!$D$5-18)^5)</f>
        <v>5.3045300475999966</v>
      </c>
      <c r="G5" s="85"/>
      <c r="H5" s="86">
        <v>125</v>
      </c>
      <c r="I5" s="87">
        <v>2.5000000000000002E-6</v>
      </c>
      <c r="J5" s="87">
        <v>6.1600000000000001E-4</v>
      </c>
      <c r="K5" s="84">
        <v>3.8410000000000002</v>
      </c>
      <c r="L5" s="84">
        <v>2.4510000000000001</v>
      </c>
      <c r="M5" s="65"/>
      <c r="N5" s="73">
        <v>250</v>
      </c>
      <c r="O5" s="74">
        <v>5.2670000000000003</v>
      </c>
      <c r="P5" s="75">
        <v>0.70970000000000011</v>
      </c>
      <c r="Q5" s="75">
        <v>-9.128E-2</v>
      </c>
      <c r="R5" s="75">
        <v>3.637E-3</v>
      </c>
      <c r="S5" s="75">
        <v>-5.7410000000000001E-5</v>
      </c>
      <c r="T5" s="76">
        <v>3.2179999999999998E-7</v>
      </c>
      <c r="U5" s="65"/>
      <c r="V5" s="77">
        <v>250</v>
      </c>
      <c r="W5" s="78">
        <v>3.32</v>
      </c>
      <c r="X5" s="79">
        <v>0.23039999999999999</v>
      </c>
      <c r="Y5" s="80">
        <v>-2.5389999999999999E-2</v>
      </c>
      <c r="Z5" s="81">
        <v>1.2049999999999999E-3</v>
      </c>
      <c r="AA5" s="80">
        <v>-2.2690000000000001E-5</v>
      </c>
      <c r="AB5" s="82">
        <v>1.458E-7</v>
      </c>
      <c r="AC5" s="49"/>
      <c r="AD5" s="49"/>
      <c r="AE5" s="49"/>
      <c r="AF5" s="49"/>
      <c r="AG5" s="49"/>
      <c r="AH5" s="49"/>
      <c r="AI5" s="49"/>
      <c r="AJ5" s="49"/>
      <c r="AK5" s="49"/>
      <c r="AL5" s="49"/>
    </row>
    <row r="6" spans="1:38" x14ac:dyDescent="0.25">
      <c r="A6" s="83">
        <f t="shared" ref="A6:A7" si="0">H6</f>
        <v>250</v>
      </c>
      <c r="B6" s="84">
        <f>IF(AND('ISO 1999'!$F$4="o.k.",'ISO 1999'!$F$5="o.k.",'ISO 1999'!$F$6="o.k.",'ISO 1999'!$F$7="o.k.",'ISO 1999'!$F$8="o.k."),IF('ISO 1999'!$D$8&lt;=0.5,D6+'N (durch Lärm)'!$D$38*E6,D6-'N (durch Lärm)'!$D$38*F6),0)</f>
        <v>3.8385047539431412</v>
      </c>
      <c r="C6" s="65"/>
      <c r="D6" s="84">
        <f>IF('ISO 1999'!$D$4="männlich",I6*('ISO 1999'!$D$5-18)^K6,J6*('ISO 1999'!$D$5-18)^L6)</f>
        <v>3.8385047539431412</v>
      </c>
      <c r="E6" s="84">
        <f>IF('ISO 1999'!$D$4="männlich",O5+P5*('ISO 1999'!$D$5-18)+Q5*('ISO 1999'!$D$5-18)^2+R5*('ISO 1999'!$D$5-18)^3+S5*('ISO 1999'!$D$5-18)^4+T5*('ISO 1999'!$D$5-18)^5,O19+P19*('ISO 1999'!$D$5-18)+Q19*('ISO 1999'!$D$5-18)^2+R19*('ISO 1999'!$D$5-18)^3+S19*('ISO 1999'!$D$5-18)^4+T19*('ISO 1999'!$D$5-18)^5)</f>
        <v>5.507843352600009</v>
      </c>
      <c r="F6" s="84">
        <f>IF('ISO 1999'!$D$4="männlich",W5+X5*('ISO 1999'!$D$5-18)+Y5*('ISO 1999'!$D$5-18)^2+Z5*('ISO 1999'!$D$5-18)^3+AA5*('ISO 1999'!$D$5-18)^4+AB5*('ISO 1999'!$D$5-18)^5,W19+X19*('ISO 1999'!$D$5-18)+Y19*('ISO 1999'!$D$5-18)^2+Z19*('ISO 1999'!$D$5-18)^3+AA19*('ISO 1999'!$D$5-18)^4+AB19*('ISO 1999'!$D$5-18)^5)</f>
        <v>5.708390840599991</v>
      </c>
      <c r="G6" s="85"/>
      <c r="H6" s="86">
        <v>250</v>
      </c>
      <c r="I6" s="87">
        <v>1.3899999999999999E-4</v>
      </c>
      <c r="J6" s="87">
        <v>3.9800000000000002E-4</v>
      </c>
      <c r="K6" s="84">
        <v>2.8319999999999999</v>
      </c>
      <c r="L6" s="84">
        <v>2.5680000000000001</v>
      </c>
      <c r="M6" s="65"/>
      <c r="N6" s="73">
        <v>500</v>
      </c>
      <c r="O6" s="74">
        <v>4.9809999999999999</v>
      </c>
      <c r="P6" s="75">
        <v>0.75070000000000003</v>
      </c>
      <c r="Q6" s="75">
        <v>-9.2020000000000005E-2</v>
      </c>
      <c r="R6" s="75">
        <v>3.6770000000000001E-3</v>
      </c>
      <c r="S6" s="75">
        <v>-5.8359999999999997E-5</v>
      </c>
      <c r="T6" s="76">
        <v>3.2809999999999998E-7</v>
      </c>
      <c r="U6" s="65"/>
      <c r="V6" s="77">
        <v>500</v>
      </c>
      <c r="W6" s="78">
        <v>3.4279999999999999</v>
      </c>
      <c r="X6" s="79">
        <v>0.36200000000000004</v>
      </c>
      <c r="Y6" s="80">
        <v>-4.1099999999999998E-2</v>
      </c>
      <c r="Z6" s="81">
        <v>1.869E-3</v>
      </c>
      <c r="AA6" s="80">
        <v>-3.4449999999999997E-5</v>
      </c>
      <c r="AB6" s="82">
        <v>2.2079999999999999E-7</v>
      </c>
      <c r="AC6" s="49"/>
      <c r="AD6" s="49"/>
      <c r="AE6" s="49"/>
      <c r="AF6" s="49"/>
      <c r="AG6" s="49"/>
      <c r="AH6" s="49"/>
      <c r="AI6" s="49"/>
      <c r="AJ6" s="49"/>
      <c r="AK6" s="49"/>
      <c r="AL6" s="49"/>
    </row>
    <row r="7" spans="1:38" x14ac:dyDescent="0.25">
      <c r="A7" s="83">
        <f t="shared" si="0"/>
        <v>500</v>
      </c>
      <c r="B7" s="84">
        <f>IF(AND('ISO 1999'!$F$4="o.k.",'ISO 1999'!$F$5="o.k.",'ISO 1999'!$F$6="o.k.",'ISO 1999'!$F$7="o.k.",'ISO 1999'!$F$8="o.k."),IF('ISO 1999'!$D$8&lt;=0.5,D7+'N (durch Lärm)'!$D$38*E7,D7-'N (durch Lärm)'!$D$38*F7),0)</f>
        <v>4.3685816730104117</v>
      </c>
      <c r="C7" s="65"/>
      <c r="D7" s="84">
        <f>IF('ISO 1999'!$D$4="männlich",I7*('ISO 1999'!$D$5-18)^K7,J7*('ISO 1999'!$D$5-18)^L7)</f>
        <v>4.3685816730104117</v>
      </c>
      <c r="E7" s="84">
        <f>IF('ISO 1999'!$D$4="männlich",O6+P6*('ISO 1999'!$D$5-18)+Q6*('ISO 1999'!$D$5-18)^2+R6*('ISO 1999'!$D$5-18)^3+S6*('ISO 1999'!$D$5-18)^4+T6*('ISO 1999'!$D$5-18)^5,O20+P20*('ISO 1999'!$D$5-18)+Q20*('ISO 1999'!$D$5-18)^2+R20*('ISO 1999'!$D$5-18)^3+S20*('ISO 1999'!$D$5-18)^4+T20*('ISO 1999'!$D$5-18)^5)</f>
        <v>6.4083173317000011</v>
      </c>
      <c r="F7" s="84">
        <f>IF('ISO 1999'!$D$4="männlich",W6+X6*('ISO 1999'!$D$5-18)+Y6*('ISO 1999'!$D$5-18)^2+Z6*('ISO 1999'!$D$5-18)^3+AA6*('ISO 1999'!$D$5-18)^4+AB6*('ISO 1999'!$D$5-18)^5,W20+X20*('ISO 1999'!$D$5-18)+Y20*('ISO 1999'!$D$5-18)^2+Z20*('ISO 1999'!$D$5-18)^3+AA20*('ISO 1999'!$D$5-18)^4+AB20*('ISO 1999'!$D$5-18)^5)</f>
        <v>5.972856255600016</v>
      </c>
      <c r="G7" s="85"/>
      <c r="H7" s="86">
        <v>500</v>
      </c>
      <c r="I7" s="87">
        <v>4.5899999999999999E-4</v>
      </c>
      <c r="J7" s="87">
        <v>2.61E-4</v>
      </c>
      <c r="K7" s="84">
        <v>2.5369999999999999</v>
      </c>
      <c r="L7" s="84">
        <v>2.7080000000000002</v>
      </c>
      <c r="M7" s="65"/>
      <c r="N7" s="73">
        <v>750</v>
      </c>
      <c r="O7" s="74">
        <v>4.6509999999999998</v>
      </c>
      <c r="P7" s="75">
        <v>0.7329</v>
      </c>
      <c r="Q7" s="75">
        <v>-8.8139999999999996E-2</v>
      </c>
      <c r="R7" s="75">
        <v>3.5899999999999999E-3</v>
      </c>
      <c r="S7" s="75">
        <v>-5.7599999999999997E-5</v>
      </c>
      <c r="T7" s="76">
        <v>3.241E-7</v>
      </c>
      <c r="U7" s="65"/>
      <c r="V7" s="77">
        <v>750</v>
      </c>
      <c r="W7" s="78">
        <v>3.5960000000000001</v>
      </c>
      <c r="X7" s="79">
        <v>0.38390000000000002</v>
      </c>
      <c r="Y7" s="80">
        <v>-4.4319999999999998E-2</v>
      </c>
      <c r="Z7" s="81">
        <v>1.977E-3</v>
      </c>
      <c r="AA7" s="80">
        <v>-3.5490000000000001E-5</v>
      </c>
      <c r="AB7" s="82">
        <v>2.2219999999999999E-7</v>
      </c>
      <c r="AC7" s="49"/>
      <c r="AD7" s="49"/>
      <c r="AE7" s="49"/>
      <c r="AF7" s="49"/>
      <c r="AG7" s="49"/>
      <c r="AH7" s="49"/>
      <c r="AI7" s="49"/>
      <c r="AJ7" s="49"/>
      <c r="AK7" s="49"/>
      <c r="AL7" s="49"/>
    </row>
    <row r="8" spans="1:38" x14ac:dyDescent="0.25">
      <c r="A8" s="83">
        <f t="shared" ref="A8:A15" si="1">H8</f>
        <v>750</v>
      </c>
      <c r="B8" s="84">
        <f>IF(AND('ISO 1999'!$F$4="o.k.",'ISO 1999'!$F$5="o.k.",'ISO 1999'!$F$6="o.k.",'ISO 1999'!$F$7="o.k.",'ISO 1999'!$F$8="o.k."),IF('ISO 1999'!$D$8&lt;=0.5,D8+'N (durch Lärm)'!$D$38*E8,D8-'N (durch Lärm)'!$D$38*F8),0)</f>
        <v>4.9567565200640589</v>
      </c>
      <c r="C8" s="65"/>
      <c r="D8" s="84">
        <f>IF('ISO 1999'!$D$4="männlich",I8*('ISO 1999'!$D$5-18)^K8,J8*('ISO 1999'!$D$5-18)^L8)</f>
        <v>4.9567565200640589</v>
      </c>
      <c r="E8" s="84">
        <f>IF('ISO 1999'!$D$4="männlich",O7+P7*('ISO 1999'!$D$5-18)+Q7*('ISO 1999'!$D$5-18)^2+R7*('ISO 1999'!$D$5-18)^3+S7*('ISO 1999'!$D$5-18)^4+T7*('ISO 1999'!$D$5-18)^5,O21+P21*('ISO 1999'!$D$5-18)+Q21*('ISO 1999'!$D$5-18)^2+R21*('ISO 1999'!$D$5-18)^3+S21*('ISO 1999'!$D$5-18)^4+T21*('ISO 1999'!$D$5-18)^5)</f>
        <v>7.4716128637000061</v>
      </c>
      <c r="F8" s="84">
        <f>IF('ISO 1999'!$D$4="männlich",W7+X7*('ISO 1999'!$D$5-18)+Y7*('ISO 1999'!$D$5-18)^2+Z7*('ISO 1999'!$D$5-18)^3+AA7*('ISO 1999'!$D$5-18)^4+AB7*('ISO 1999'!$D$5-18)^5,W21+X21*('ISO 1999'!$D$5-18)+Y21*('ISO 1999'!$D$5-18)^2+Z21*('ISO 1999'!$D$5-18)^3+AA21*('ISO 1999'!$D$5-18)^4+AB21*('ISO 1999'!$D$5-18)^5)</f>
        <v>6.1614543553999965</v>
      </c>
      <c r="G8" s="85"/>
      <c r="H8" s="86">
        <v>750</v>
      </c>
      <c r="I8" s="87">
        <v>5.6999999999999998E-4</v>
      </c>
      <c r="J8" s="87">
        <v>2.2499999999999999E-4</v>
      </c>
      <c r="K8" s="84">
        <v>2.512</v>
      </c>
      <c r="L8" s="84">
        <v>2.7749999999999999</v>
      </c>
      <c r="M8" s="65"/>
      <c r="N8" s="73" t="s">
        <v>63</v>
      </c>
      <c r="O8" s="74">
        <v>4.42</v>
      </c>
      <c r="P8" s="75">
        <v>0.71399999999999997</v>
      </c>
      <c r="Q8" s="75">
        <v>-8.541E-2</v>
      </c>
      <c r="R8" s="75">
        <v>3.5690000000000001E-3</v>
      </c>
      <c r="S8" s="75">
        <v>-5.8159999999999999E-5</v>
      </c>
      <c r="T8" s="76">
        <v>3.2860000000000002E-7</v>
      </c>
      <c r="U8" s="65"/>
      <c r="V8" s="77" t="s">
        <v>63</v>
      </c>
      <c r="W8" s="78">
        <v>3.7709999999999999</v>
      </c>
      <c r="X8" s="79">
        <v>0.36330000000000001</v>
      </c>
      <c r="Y8" s="80">
        <v>-4.1869999999999997E-2</v>
      </c>
      <c r="Z8" s="81">
        <v>1.8209999999999999E-3</v>
      </c>
      <c r="AA8" s="80">
        <v>-3.1449999999999999E-5</v>
      </c>
      <c r="AB8" s="82">
        <v>1.8900000000000001E-7</v>
      </c>
      <c r="AC8" s="49"/>
      <c r="AD8" s="49"/>
      <c r="AE8" s="49"/>
      <c r="AF8" s="49"/>
      <c r="AG8" s="49"/>
      <c r="AH8" s="49"/>
      <c r="AI8" s="49"/>
      <c r="AJ8" s="49"/>
      <c r="AK8" s="49"/>
      <c r="AL8" s="49"/>
    </row>
    <row r="9" spans="1:38" x14ac:dyDescent="0.25">
      <c r="A9" s="83" t="str">
        <f t="shared" si="1"/>
        <v>1 000</v>
      </c>
      <c r="B9" s="84">
        <f>IF(AND('ISO 1999'!$F$4="o.k.",'ISO 1999'!$F$5="o.k.",'ISO 1999'!$F$6="o.k.",'ISO 1999'!$F$7="o.k.",'ISO 1999'!$F$8="o.k."),IF('ISO 1999'!$D$8&lt;=0.5,D9+'N (durch Lärm)'!$D$38*E9,D9-'N (durch Lärm)'!$D$38*F9),0)</f>
        <v>5.720476580534724</v>
      </c>
      <c r="C9" s="65"/>
      <c r="D9" s="84">
        <f>IF('ISO 1999'!$D$4="männlich",I9*('ISO 1999'!$D$5-18)^K9,J9*('ISO 1999'!$D$5-18)^L9)</f>
        <v>5.720476580534724</v>
      </c>
      <c r="E9" s="84">
        <f>IF('ISO 1999'!$D$4="männlich",O8+P8*('ISO 1999'!$D$5-18)+Q8*('ISO 1999'!$D$5-18)^2+R8*('ISO 1999'!$D$5-18)^3+S8*('ISO 1999'!$D$5-18)^4+T8*('ISO 1999'!$D$5-18)^5,O22+P22*('ISO 1999'!$D$5-18)+Q22*('ISO 1999'!$D$5-18)^2+R22*('ISO 1999'!$D$5-18)^3+S22*('ISO 1999'!$D$5-18)^4+T22*('ISO 1999'!$D$5-18)^5)</f>
        <v>8.4774875102000209</v>
      </c>
      <c r="F9" s="84">
        <f>IF('ISO 1999'!$D$4="männlich",W8+X8*('ISO 1999'!$D$5-18)+Y8*('ISO 1999'!$D$5-18)^2+Z8*('ISO 1999'!$D$5-18)^3+AA8*('ISO 1999'!$D$5-18)^4+AB8*('ISO 1999'!$D$5-18)^5,W22+X22*('ISO 1999'!$D$5-18)+Y22*('ISO 1999'!$D$5-18)^2+Z22*('ISO 1999'!$D$5-18)^3+AA22*('ISO 1999'!$D$5-18)^4+AB22*('ISO 1999'!$D$5-18)^5)</f>
        <v>6.295827423000004</v>
      </c>
      <c r="G9" s="85"/>
      <c r="H9" s="86" t="s">
        <v>63</v>
      </c>
      <c r="I9" s="87">
        <v>7.0200000000000004E-4</v>
      </c>
      <c r="J9" s="87">
        <v>2.2100000000000001E-4</v>
      </c>
      <c r="K9" s="84">
        <v>2.4940000000000002</v>
      </c>
      <c r="L9" s="84">
        <v>2.8050000000000002</v>
      </c>
      <c r="M9" s="65"/>
      <c r="N9" s="73" t="s">
        <v>64</v>
      </c>
      <c r="O9" s="74">
        <v>4.1440000000000001</v>
      </c>
      <c r="P9" s="75">
        <v>0.67870000000000008</v>
      </c>
      <c r="Q9" s="75">
        <v>-8.0439999999999998E-2</v>
      </c>
      <c r="R9" s="75">
        <v>3.5179999999999999E-3</v>
      </c>
      <c r="S9" s="75">
        <v>-5.8860000000000002E-5</v>
      </c>
      <c r="T9" s="76">
        <v>3.347E-7</v>
      </c>
      <c r="U9" s="65"/>
      <c r="V9" s="77" t="s">
        <v>64</v>
      </c>
      <c r="W9" s="78">
        <v>3.93</v>
      </c>
      <c r="X9" s="79">
        <v>0.36450000000000005</v>
      </c>
      <c r="Y9" s="80">
        <v>-4.2189999999999998E-2</v>
      </c>
      <c r="Z9" s="81">
        <v>1.792E-3</v>
      </c>
      <c r="AA9" s="80">
        <v>-2.9649999999999999E-5</v>
      </c>
      <c r="AB9" s="82">
        <v>1.7030000000000001E-7</v>
      </c>
      <c r="AC9" s="49"/>
      <c r="AD9" s="49"/>
      <c r="AE9" s="49"/>
      <c r="AF9" s="49"/>
      <c r="AG9" s="49"/>
      <c r="AH9" s="49"/>
      <c r="AI9" s="49"/>
      <c r="AJ9" s="49"/>
      <c r="AK9" s="49"/>
      <c r="AL9" s="49"/>
    </row>
    <row r="10" spans="1:38" x14ac:dyDescent="0.25">
      <c r="A10" s="83" t="str">
        <f t="shared" si="1"/>
        <v>1 500</v>
      </c>
      <c r="B10" s="84">
        <f>IF(AND('ISO 1999'!$F$4="o.k.",'ISO 1999'!$F$5="o.k.",'ISO 1999'!$F$6="o.k.",'ISO 1999'!$F$7="o.k.",'ISO 1999'!$F$8="o.k."),IF('ISO 1999'!$D$8&lt;=0.5,D10+'N (durch Lärm)'!$D$38*E10,D10-'N (durch Lärm)'!$D$38*F10),0)</f>
        <v>7.4687498689600682</v>
      </c>
      <c r="C10" s="65"/>
      <c r="D10" s="84">
        <f>IF('ISO 1999'!$D$4="männlich",I10*('ISO 1999'!$D$5-18)^K10,J10*('ISO 1999'!$D$5-18)^L10)</f>
        <v>7.4687498689600682</v>
      </c>
      <c r="E10" s="84">
        <f>IF('ISO 1999'!$D$4="männlich",O9+P9*('ISO 1999'!$D$5-18)+Q9*('ISO 1999'!$D$5-18)^2+R9*('ISO 1999'!$D$5-18)^3+S9*('ISO 1999'!$D$5-18)^4+T9*('ISO 1999'!$D$5-18)^5,O23+P23*('ISO 1999'!$D$5-18)+Q23*('ISO 1999'!$D$5-18)^2+R23*('ISO 1999'!$D$5-18)^3+S23*('ISO 1999'!$D$5-18)^4+T23*('ISO 1999'!$D$5-18)^5)</f>
        <v>10.227099947899994</v>
      </c>
      <c r="F10" s="84">
        <f>IF('ISO 1999'!$D$4="männlich",W9+X9*('ISO 1999'!$D$5-18)+Y9*('ISO 1999'!$D$5-18)^2+Z9*('ISO 1999'!$D$5-18)^3+AA9*('ISO 1999'!$D$5-18)^4+AB9*('ISO 1999'!$D$5-18)^5,W23+X23*('ISO 1999'!$D$5-18)+Y23*('ISO 1999'!$D$5-18)^2+Z23*('ISO 1999'!$D$5-18)^3+AA23*('ISO 1999'!$D$5-18)^4+AB23*('ISO 1999'!$D$5-18)^5)</f>
        <v>6.6689682271000041</v>
      </c>
      <c r="G10" s="85"/>
      <c r="H10" s="86" t="s">
        <v>64</v>
      </c>
      <c r="I10" s="87">
        <v>1.09E-3</v>
      </c>
      <c r="J10" s="87">
        <v>2.5300000000000002E-4</v>
      </c>
      <c r="K10" s="84">
        <v>2.4460000000000002</v>
      </c>
      <c r="L10" s="84">
        <v>2.8130000000000002</v>
      </c>
      <c r="M10" s="65"/>
      <c r="N10" s="73" t="s">
        <v>65</v>
      </c>
      <c r="O10" s="74">
        <v>4.0979999999999999</v>
      </c>
      <c r="P10" s="75">
        <v>0.63180000000000003</v>
      </c>
      <c r="Q10" s="75">
        <v>-7.5340000000000004E-2</v>
      </c>
      <c r="R10" s="75">
        <v>3.457E-3</v>
      </c>
      <c r="S10" s="75">
        <v>-5.9370000000000002E-5</v>
      </c>
      <c r="T10" s="76">
        <v>3.4009999999999998E-7</v>
      </c>
      <c r="U10" s="65"/>
      <c r="V10" s="77" t="s">
        <v>65</v>
      </c>
      <c r="W10" s="78">
        <v>4.0119999999999996</v>
      </c>
      <c r="X10" s="79">
        <v>0.38719999999999999</v>
      </c>
      <c r="Y10" s="80">
        <v>-4.4720000000000003E-2</v>
      </c>
      <c r="Z10" s="81">
        <v>1.874E-3</v>
      </c>
      <c r="AA10" s="80">
        <v>-3.0239999999999998E-5</v>
      </c>
      <c r="AB10" s="82">
        <v>1.6929999999999999E-7</v>
      </c>
      <c r="AC10" s="49"/>
      <c r="AD10" s="49"/>
      <c r="AE10" s="49"/>
      <c r="AF10" s="49"/>
      <c r="AG10" s="49"/>
      <c r="AH10" s="49"/>
      <c r="AI10" s="49"/>
      <c r="AJ10" s="49"/>
      <c r="AK10" s="49"/>
      <c r="AL10" s="49"/>
    </row>
    <row r="11" spans="1:38" x14ac:dyDescent="0.25">
      <c r="A11" s="83" t="str">
        <f t="shared" si="1"/>
        <v>2 000</v>
      </c>
      <c r="B11" s="84">
        <f>IF(AND('ISO 1999'!$F$4="o.k.",'ISO 1999'!$F$5="o.k.",'ISO 1999'!$F$6="o.k.",'ISO 1999'!$F$7="o.k.",'ISO 1999'!$F$8="o.k."),IF('ISO 1999'!$D$8&lt;=0.5,D11+'N (durch Lärm)'!$D$38*E11,D11-'N (durch Lärm)'!$D$38*F11),0)</f>
        <v>9.1850503854562593</v>
      </c>
      <c r="C11" s="65"/>
      <c r="D11" s="84">
        <f>IF('ISO 1999'!$D$4="männlich",I11*('ISO 1999'!$D$5-18)^K11,J11*('ISO 1999'!$D$5-18)^L11)</f>
        <v>9.1850503854562593</v>
      </c>
      <c r="E11" s="84">
        <f>IF('ISO 1999'!$D$4="männlich",O10+P10*('ISO 1999'!$D$5-18)+Q10*('ISO 1999'!$D$5-18)^2+R10*('ISO 1999'!$D$5-18)^3+S10*('ISO 1999'!$D$5-18)^4+T10*('ISO 1999'!$D$5-18)^5,O24+P24*('ISO 1999'!$D$5-18)+Q24*('ISO 1999'!$D$5-18)^2+R24*('ISO 1999'!$D$5-18)^3+S24*('ISO 1999'!$D$5-18)^4+T24*('ISO 1999'!$D$5-18)^5)</f>
        <v>11.756502205699974</v>
      </c>
      <c r="F11" s="84">
        <f>IF('ISO 1999'!$D$4="männlich",W10+X10*('ISO 1999'!$D$5-18)+Y10*('ISO 1999'!$D$5-18)^2+Z10*('ISO 1999'!$D$5-18)^3+AA10*('ISO 1999'!$D$5-18)^4+AB10*('ISO 1999'!$D$5-18)^5,W24+X24*('ISO 1999'!$D$5-18)+Y24*('ISO 1999'!$D$5-18)^2+Z24*('ISO 1999'!$D$5-18)^3+AA24*('ISO 1999'!$D$5-18)^4+AB24*('ISO 1999'!$D$5-18)^5)</f>
        <v>7.1057452800999954</v>
      </c>
      <c r="G11" s="85"/>
      <c r="H11" s="86" t="s">
        <v>65</v>
      </c>
      <c r="I11" s="87">
        <v>1.56E-3</v>
      </c>
      <c r="J11" s="87">
        <v>3.1199999999999999E-4</v>
      </c>
      <c r="K11" s="84">
        <v>2.4039999999999999</v>
      </c>
      <c r="L11" s="84">
        <v>2.7919999999999998</v>
      </c>
      <c r="M11" s="65"/>
      <c r="N11" s="73" t="s">
        <v>66</v>
      </c>
      <c r="O11" s="74">
        <v>4.2949999999999999</v>
      </c>
      <c r="P11" s="75">
        <v>0.5302</v>
      </c>
      <c r="Q11" s="75">
        <v>-6.2829999999999997E-2</v>
      </c>
      <c r="R11" s="75">
        <v>3.0899999999999999E-3</v>
      </c>
      <c r="S11" s="75">
        <v>-5.3680000000000001E-5</v>
      </c>
      <c r="T11" s="76">
        <v>2.946E-7</v>
      </c>
      <c r="U11" s="65"/>
      <c r="V11" s="77" t="s">
        <v>66</v>
      </c>
      <c r="W11" s="78">
        <v>4.1050000000000004</v>
      </c>
      <c r="X11" s="79">
        <v>0.40460000000000007</v>
      </c>
      <c r="Y11" s="80">
        <v>-4.5569999999999999E-2</v>
      </c>
      <c r="Z11" s="81">
        <v>1.8569999999999999E-3</v>
      </c>
      <c r="AA11" s="80">
        <v>-2.828E-5</v>
      </c>
      <c r="AB11" s="82">
        <v>1.4639999999999999E-7</v>
      </c>
      <c r="AC11" s="49"/>
      <c r="AD11" s="49"/>
      <c r="AE11" s="49"/>
      <c r="AF11" s="49"/>
      <c r="AG11" s="49"/>
      <c r="AH11" s="49"/>
      <c r="AI11" s="49"/>
      <c r="AJ11" s="49"/>
      <c r="AK11" s="49"/>
      <c r="AL11" s="49"/>
    </row>
    <row r="12" spans="1:38" x14ac:dyDescent="0.25">
      <c r="A12" s="83" t="str">
        <f t="shared" si="1"/>
        <v>3 000</v>
      </c>
      <c r="B12" s="84">
        <f>IF(AND('ISO 1999'!$F$4="o.k.",'ISO 1999'!$F$5="o.k.",'ISO 1999'!$F$6="o.k.",'ISO 1999'!$F$7="o.k.",'ISO 1999'!$F$8="o.k."),IF('ISO 1999'!$D$8&lt;=0.5,D12+'N (durch Lärm)'!$D$38*E12,D12-'N (durch Lärm)'!$D$38*F12),0)</f>
        <v>12.305740942277879</v>
      </c>
      <c r="C12" s="65"/>
      <c r="D12" s="84">
        <f>IF('ISO 1999'!$D$4="männlich",I12*('ISO 1999'!$D$5-18)^K12,J12*('ISO 1999'!$D$5-18)^L12)</f>
        <v>12.305740942277879</v>
      </c>
      <c r="E12" s="84">
        <f>IF('ISO 1999'!$D$4="männlich",O11+P11*('ISO 1999'!$D$5-18)+Q11*('ISO 1999'!$D$5-18)^2+R11*('ISO 1999'!$D$5-18)^3+S11*('ISO 1999'!$D$5-18)^4+T11*('ISO 1999'!$D$5-18)^5,O25+P25*('ISO 1999'!$D$5-18)+Q25*('ISO 1999'!$D$5-18)^2+R25*('ISO 1999'!$D$5-18)^3+S25*('ISO 1999'!$D$5-18)^4+T25*('ISO 1999'!$D$5-18)^5)</f>
        <v>14.239667252199997</v>
      </c>
      <c r="F12" s="84">
        <f>IF('ISO 1999'!$D$4="männlich",W11+X11*('ISO 1999'!$D$5-18)+Y11*('ISO 1999'!$D$5-18)^2+Z11*('ISO 1999'!$D$5-18)^3+AA11*('ISO 1999'!$D$5-18)^4+AB11*('ISO 1999'!$D$5-18)^5,W25+X25*('ISO 1999'!$D$5-18)+Y25*('ISO 1999'!$D$5-18)^2+Z25*('ISO 1999'!$D$5-18)^3+AA25*('ISO 1999'!$D$5-18)^4+AB25*('ISO 1999'!$D$5-18)^5)</f>
        <v>7.9031732248000015</v>
      </c>
      <c r="G12" s="85"/>
      <c r="H12" s="86" t="s">
        <v>66</v>
      </c>
      <c r="I12" s="87">
        <v>2.5400000000000002E-3</v>
      </c>
      <c r="J12" s="87">
        <v>4.8799999999999999E-4</v>
      </c>
      <c r="K12" s="84">
        <v>2.35</v>
      </c>
      <c r="L12" s="84">
        <v>2.7280000000000002</v>
      </c>
      <c r="M12" s="65"/>
      <c r="N12" s="73" t="s">
        <v>67</v>
      </c>
      <c r="O12" s="74">
        <v>4.6820000000000004</v>
      </c>
      <c r="P12" s="75">
        <v>0.45540000000000003</v>
      </c>
      <c r="Q12" s="75">
        <v>-5.5190000000000003E-2</v>
      </c>
      <c r="R12" s="75">
        <v>2.9459999999999998E-3</v>
      </c>
      <c r="S12" s="75">
        <v>-5.3000000000000001E-5</v>
      </c>
      <c r="T12" s="76">
        <v>2.9190000000000001E-7</v>
      </c>
      <c r="U12" s="65"/>
      <c r="V12" s="77" t="s">
        <v>67</v>
      </c>
      <c r="W12" s="78">
        <v>4.0949999999999998</v>
      </c>
      <c r="X12" s="79">
        <v>0.4385</v>
      </c>
      <c r="Y12" s="80">
        <v>-4.7759999999999997E-2</v>
      </c>
      <c r="Z12" s="81">
        <v>1.921E-3</v>
      </c>
      <c r="AA12" s="80">
        <v>-2.8430000000000001E-5</v>
      </c>
      <c r="AB12" s="82">
        <v>1.4040000000000001E-7</v>
      </c>
      <c r="AC12" s="49"/>
      <c r="AD12" s="49"/>
      <c r="AE12" s="49"/>
      <c r="AF12" s="49"/>
      <c r="AG12" s="49"/>
      <c r="AH12" s="49"/>
      <c r="AI12" s="49"/>
      <c r="AJ12" s="49"/>
      <c r="AK12" s="49"/>
      <c r="AL12" s="49"/>
    </row>
    <row r="13" spans="1:38" x14ac:dyDescent="0.25">
      <c r="A13" s="83" t="str">
        <f t="shared" si="1"/>
        <v>4 000</v>
      </c>
      <c r="B13" s="84">
        <f>IF(AND('ISO 1999'!$F$4="o.k.",'ISO 1999'!$F$5="o.k.",'ISO 1999'!$F$6="o.k.",'ISO 1999'!$F$7="o.k.",'ISO 1999'!$F$8="o.k."),IF('ISO 1999'!$D$8&lt;=0.5,D13+'N (durch Lärm)'!$D$38*E13,D13-'N (durch Lärm)'!$D$38*F13),0)</f>
        <v>15.050395945769196</v>
      </c>
      <c r="C13" s="65"/>
      <c r="D13" s="84">
        <f>IF('ISO 1999'!$D$4="männlich",I13*('ISO 1999'!$D$5-18)^K13,J13*('ISO 1999'!$D$5-18)^L13)</f>
        <v>15.050395945769196</v>
      </c>
      <c r="E13" s="84">
        <f>IF('ISO 1999'!$D$4="männlich",O12+P12*('ISO 1999'!$D$5-18)+Q12*('ISO 1999'!$D$5-18)^2+R12*('ISO 1999'!$D$5-18)^3+S12*('ISO 1999'!$D$5-18)^4+T12*('ISO 1999'!$D$5-18)^5,O26+P26*('ISO 1999'!$D$5-18)+Q26*('ISO 1999'!$D$5-18)^2+R26*('ISO 1999'!$D$5-18)^3+S26*('ISO 1999'!$D$5-18)^4+T26*('ISO 1999'!$D$5-18)^5)</f>
        <v>16.111396048300001</v>
      </c>
      <c r="F13" s="84">
        <f>IF('ISO 1999'!$D$4="männlich",W12+X12*('ISO 1999'!$D$5-18)+Y12*('ISO 1999'!$D$5-18)^2+Z12*('ISO 1999'!$D$5-18)^3+AA12*('ISO 1999'!$D$5-18)^4+AB12*('ISO 1999'!$D$5-18)^5,W26+X26*('ISO 1999'!$D$5-18)+Y26*('ISO 1999'!$D$5-18)^2+Z26*('ISO 1999'!$D$5-18)^3+AA26*('ISO 1999'!$D$5-18)^4+AB26*('ISO 1999'!$D$5-18)^5)</f>
        <v>8.6939673328000016</v>
      </c>
      <c r="G13" s="85"/>
      <c r="H13" s="86" t="s">
        <v>67</v>
      </c>
      <c r="I13" s="87">
        <v>3.3999999999999998E-3</v>
      </c>
      <c r="J13" s="87">
        <v>7.3700000000000002E-4</v>
      </c>
      <c r="K13" s="84">
        <v>2.3250000000000002</v>
      </c>
      <c r="L13" s="84">
        <v>2.66</v>
      </c>
      <c r="M13" s="65"/>
      <c r="N13" s="73" t="s">
        <v>68</v>
      </c>
      <c r="O13" s="74">
        <v>5.6130000000000004</v>
      </c>
      <c r="P13" s="75">
        <v>0.36260000000000003</v>
      </c>
      <c r="Q13" s="75">
        <v>-4.7210000000000002E-2</v>
      </c>
      <c r="R13" s="75">
        <v>2.9199999999999999E-3</v>
      </c>
      <c r="S13" s="75">
        <v>-5.5810000000000003E-5</v>
      </c>
      <c r="T13" s="76">
        <v>3.121E-7</v>
      </c>
      <c r="U13" s="65"/>
      <c r="V13" s="77" t="s">
        <v>68</v>
      </c>
      <c r="W13" s="78">
        <v>4.0069999999999997</v>
      </c>
      <c r="X13" s="79">
        <v>0.49720000000000009</v>
      </c>
      <c r="Y13" s="80">
        <v>-4.9730000000000003E-2</v>
      </c>
      <c r="Z13" s="81">
        <v>1.9300000000000001E-3</v>
      </c>
      <c r="AA13" s="80">
        <v>-2.6720000000000002E-5</v>
      </c>
      <c r="AB13" s="82">
        <v>1.178E-7</v>
      </c>
      <c r="AC13" s="49"/>
      <c r="AD13" s="49"/>
      <c r="AE13" s="49"/>
      <c r="AF13" s="49"/>
      <c r="AG13" s="49"/>
      <c r="AH13" s="49"/>
      <c r="AI13" s="49"/>
      <c r="AJ13" s="49"/>
      <c r="AK13" s="49"/>
      <c r="AL13" s="49"/>
    </row>
    <row r="14" spans="1:38" x14ac:dyDescent="0.25">
      <c r="A14" s="83" t="str">
        <f t="shared" si="1"/>
        <v>6 000</v>
      </c>
      <c r="B14" s="84">
        <f>IF(AND('ISO 1999'!$F$4="o.k.",'ISO 1999'!$F$5="o.k.",'ISO 1999'!$F$6="o.k.",'ISO 1999'!$F$7="o.k.",'ISO 1999'!$F$8="o.k."),IF('ISO 1999'!$D$8&lt;=0.5,D14+'N (durch Lärm)'!$D$38*E14,D14-'N (durch Lärm)'!$D$38*F14),0)</f>
        <v>19.341279156229874</v>
      </c>
      <c r="C14" s="65"/>
      <c r="D14" s="84">
        <f>IF('ISO 1999'!$D$4="männlich",I14*('ISO 1999'!$D$5-18)^K14,J14*('ISO 1999'!$D$5-18)^L14)</f>
        <v>19.341279156229874</v>
      </c>
      <c r="E14" s="84">
        <f>IF('ISO 1999'!$D$4="männlich",O13+P13*('ISO 1999'!$D$5-18)+Q13*('ISO 1999'!$D$5-18)^2+R13*('ISO 1999'!$D$5-18)^3+S13*('ISO 1999'!$D$5-18)^4+T13*('ISO 1999'!$D$5-18)^5,O27+P27*('ISO 1999'!$D$5-18)+Q27*('ISO 1999'!$D$5-18)^2+R27*('ISO 1999'!$D$5-18)^3+S27*('ISO 1999'!$D$5-18)^4+T27*('ISO 1999'!$D$5-18)^5)</f>
        <v>19.350793569699974</v>
      </c>
      <c r="F14" s="84">
        <f>IF('ISO 1999'!$D$4="männlich",W13+X13*('ISO 1999'!$D$5-18)+Y13*('ISO 1999'!$D$5-18)^2+Z13*('ISO 1999'!$D$5-18)^3+AA13*('ISO 1999'!$D$5-18)^4+AB13*('ISO 1999'!$D$5-18)^5,W27+X27*('ISO 1999'!$D$5-18)+Y27*('ISO 1999'!$D$5-18)^2+Z27*('ISO 1999'!$D$5-18)^3+AA27*('ISO 1999'!$D$5-18)^4+AB27*('ISO 1999'!$D$5-18)^5)</f>
        <v>10.174456214599999</v>
      </c>
      <c r="G14" s="85"/>
      <c r="H14" s="86" t="s">
        <v>68</v>
      </c>
      <c r="I14" s="87">
        <v>4.5300000000000002E-3</v>
      </c>
      <c r="J14" s="87">
        <v>1.47E-3</v>
      </c>
      <c r="K14" s="84">
        <v>2.3149999999999999</v>
      </c>
      <c r="L14" s="84">
        <v>2.5390000000000001</v>
      </c>
      <c r="M14" s="65"/>
      <c r="N14" s="73" t="s">
        <v>69</v>
      </c>
      <c r="O14" s="74">
        <v>6.6150000000000002</v>
      </c>
      <c r="P14" s="75">
        <v>0.29120000000000001</v>
      </c>
      <c r="Q14" s="75">
        <v>-4.1549999999999997E-2</v>
      </c>
      <c r="R14" s="75">
        <v>2.921E-3</v>
      </c>
      <c r="S14" s="75">
        <v>-5.8520000000000002E-5</v>
      </c>
      <c r="T14" s="76">
        <v>3.3299999999999998E-7</v>
      </c>
      <c r="U14" s="65"/>
      <c r="V14" s="88" t="s">
        <v>69</v>
      </c>
      <c r="W14" s="89">
        <v>3.9</v>
      </c>
      <c r="X14" s="79">
        <v>0.55940000000000001</v>
      </c>
      <c r="Y14" s="80">
        <v>-5.62E-2</v>
      </c>
      <c r="Z14" s="81">
        <v>2.4009999999999999E-3</v>
      </c>
      <c r="AA14" s="80">
        <v>-3.9249999999999999E-5</v>
      </c>
      <c r="AB14" s="82">
        <v>2.287E-7</v>
      </c>
      <c r="AC14" s="49"/>
      <c r="AD14" s="49"/>
      <c r="AE14" s="49"/>
      <c r="AF14" s="49"/>
      <c r="AG14" s="49"/>
      <c r="AH14" s="49"/>
      <c r="AI14" s="49"/>
      <c r="AJ14" s="49"/>
      <c r="AK14" s="49"/>
      <c r="AL14" s="49"/>
    </row>
    <row r="15" spans="1:38" x14ac:dyDescent="0.25">
      <c r="A15" s="83" t="str">
        <f t="shared" si="1"/>
        <v>8 000</v>
      </c>
      <c r="B15" s="84">
        <f>IF(AND('ISO 1999'!$F$4="o.k.",'ISO 1999'!$F$5="o.k.",'ISO 1999'!$F$6="o.k.",'ISO 1999'!$F$7="o.k.",'ISO 1999'!$F$8="o.k."),IF('ISO 1999'!$D$8&lt;=0.5,D15+'N (durch Lärm)'!$D$38*E15,D15-'N (durch Lärm)'!$D$38*F15),0)</f>
        <v>22.642487177239428</v>
      </c>
      <c r="C15" s="65"/>
      <c r="D15" s="84">
        <f>IF('ISO 1999'!$D$4="männlich",I15*('ISO 1999'!$D$5-18)^K15,J15*('ISO 1999'!$D$5-18)^L15)</f>
        <v>22.642487177239428</v>
      </c>
      <c r="E15" s="84">
        <f>IF('ISO 1999'!$D$4="männlich",O14+P14*('ISO 1999'!$D$5-18)+Q14*('ISO 1999'!$D$5-18)^2+R14*('ISO 1999'!$D$5-18)^3+S14*('ISO 1999'!$D$5-18)^4+T14*('ISO 1999'!$D$5-18)^5,O28+P28*('ISO 1999'!$D$5-18)+Q28*('ISO 1999'!$D$5-18)^2+R28*('ISO 1999'!$D$5-18)^3+S28*('ISO 1999'!$D$5-18)^4+T28*('ISO 1999'!$D$5-18)^5)</f>
        <v>21.880498961000008</v>
      </c>
      <c r="F15" s="84">
        <f>IF('ISO 1999'!$D$4="männlich",W14+X14*('ISO 1999'!$D$5-18)+Y14*('ISO 1999'!$D$5-18)^2+Z14*('ISO 1999'!$D$5-18)^3+AA14*('ISO 1999'!$D$5-18)^4+AB14*('ISO 1999'!$D$5-18)^5,W28+X28*('ISO 1999'!$D$5-18)+Y28*('ISO 1999'!$D$5-18)^2+Z28*('ISO 1999'!$D$5-18)^3+AA28*('ISO 1999'!$D$5-18)^4+AB28*('ISO 1999'!$D$5-18)^5)</f>
        <v>11.575996715899999</v>
      </c>
      <c r="G15" s="85"/>
      <c r="H15" s="86" t="s">
        <v>69</v>
      </c>
      <c r="I15" s="87">
        <v>5.0600000000000003E-3</v>
      </c>
      <c r="J15" s="87">
        <v>2.5300000000000001E-3</v>
      </c>
      <c r="K15" s="90">
        <v>2.3279999999999998</v>
      </c>
      <c r="L15" s="84">
        <v>2.4390000000000001</v>
      </c>
      <c r="M15" s="65"/>
      <c r="N15" s="91" t="s">
        <v>60</v>
      </c>
      <c r="O15" s="92"/>
      <c r="P15" s="92"/>
      <c r="Q15" s="92"/>
      <c r="R15" s="92"/>
      <c r="S15" s="92"/>
      <c r="T15" s="93"/>
      <c r="U15" s="65"/>
      <c r="V15" s="94" t="s">
        <v>60</v>
      </c>
      <c r="W15" s="92"/>
      <c r="X15" s="92"/>
      <c r="Y15" s="92"/>
      <c r="Z15" s="92"/>
      <c r="AA15" s="92"/>
      <c r="AB15" s="95"/>
      <c r="AC15" s="49"/>
      <c r="AD15" s="49"/>
      <c r="AE15" s="49"/>
      <c r="AF15" s="49"/>
      <c r="AG15" s="49"/>
      <c r="AH15" s="49"/>
      <c r="AI15" s="49"/>
      <c r="AJ15" s="49"/>
      <c r="AK15" s="49"/>
      <c r="AL15" s="49"/>
    </row>
    <row r="16" spans="1:38" x14ac:dyDescent="0.25">
      <c r="A16" s="64"/>
      <c r="B16" s="65"/>
      <c r="C16" s="65"/>
      <c r="D16" s="65"/>
      <c r="E16" s="65"/>
      <c r="F16" s="65"/>
      <c r="G16" s="65"/>
      <c r="H16" s="96"/>
      <c r="I16" s="81"/>
      <c r="J16" s="65"/>
      <c r="K16" s="81"/>
      <c r="L16" s="8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6"/>
      <c r="AC16" s="49"/>
      <c r="AD16" s="49"/>
      <c r="AE16" s="49"/>
      <c r="AF16" s="49"/>
      <c r="AG16" s="49"/>
      <c r="AH16" s="49"/>
      <c r="AI16" s="49"/>
      <c r="AJ16" s="49"/>
      <c r="AK16" s="49"/>
      <c r="AL16" s="49"/>
    </row>
    <row r="17" spans="1:38" x14ac:dyDescent="0.25">
      <c r="A17" s="64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8" t="str">
        <f t="shared" ref="N17:T17" si="2">N3</f>
        <v>Freq [Hz]</v>
      </c>
      <c r="O17" s="69" t="str">
        <f t="shared" si="2"/>
        <v>y 0,su</v>
      </c>
      <c r="P17" s="69" t="str">
        <f t="shared" si="2"/>
        <v>y 1,su</v>
      </c>
      <c r="Q17" s="69" t="str">
        <f t="shared" si="2"/>
        <v>y 2,su</v>
      </c>
      <c r="R17" s="69" t="str">
        <f t="shared" si="2"/>
        <v>y 3,su</v>
      </c>
      <c r="S17" s="69" t="str">
        <f t="shared" si="2"/>
        <v>y 4,su</v>
      </c>
      <c r="T17" s="70" t="str">
        <f t="shared" si="2"/>
        <v>y 5,su</v>
      </c>
      <c r="U17" s="65"/>
      <c r="V17" s="68" t="str">
        <f t="shared" ref="V17:AB17" si="3">V3</f>
        <v>Freq [Hz]</v>
      </c>
      <c r="W17" s="69" t="str">
        <f t="shared" si="3"/>
        <v>y 0,sl</v>
      </c>
      <c r="X17" s="69" t="str">
        <f t="shared" si="3"/>
        <v>y 1,sl</v>
      </c>
      <c r="Y17" s="69" t="str">
        <f t="shared" si="3"/>
        <v>y 2,sl</v>
      </c>
      <c r="Z17" s="69" t="str">
        <f t="shared" si="3"/>
        <v>y 3,sl</v>
      </c>
      <c r="AA17" s="69" t="str">
        <f t="shared" si="3"/>
        <v>y 4,sl</v>
      </c>
      <c r="AB17" s="71" t="str">
        <f t="shared" si="3"/>
        <v>y 5,sl</v>
      </c>
      <c r="AC17" s="49"/>
      <c r="AD17" s="49"/>
      <c r="AE17" s="49"/>
      <c r="AF17" s="49"/>
      <c r="AG17" s="49"/>
      <c r="AH17" s="49"/>
      <c r="AI17" s="49"/>
      <c r="AJ17" s="49"/>
      <c r="AK17" s="49"/>
      <c r="AL17" s="49"/>
    </row>
    <row r="18" spans="1:38" x14ac:dyDescent="0.25">
      <c r="A18" s="64" t="s">
        <v>4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97">
        <f t="shared" ref="N18:N28" si="4">N4</f>
        <v>125</v>
      </c>
      <c r="O18" s="78">
        <v>5.024</v>
      </c>
      <c r="P18" s="98">
        <v>0.40739999999999998</v>
      </c>
      <c r="Q18" s="75">
        <v>-4.7059999999999998E-2</v>
      </c>
      <c r="R18" s="75">
        <v>1.794E-3</v>
      </c>
      <c r="S18" s="75">
        <v>-2.881E-5</v>
      </c>
      <c r="T18" s="76">
        <v>1.8029999999999999E-7</v>
      </c>
      <c r="U18" s="65"/>
      <c r="V18" s="97">
        <f t="shared" ref="V18:V29" si="5">N18</f>
        <v>125</v>
      </c>
      <c r="W18" s="78">
        <v>3.63</v>
      </c>
      <c r="X18" s="78" t="s">
        <v>76</v>
      </c>
      <c r="Y18" s="75">
        <v>2.039E-3</v>
      </c>
      <c r="Z18" s="75">
        <v>-5.6419999999999999E-5</v>
      </c>
      <c r="AA18" s="75">
        <v>-1.049E-6</v>
      </c>
      <c r="AB18" s="99">
        <v>2.3989999999999998E-8</v>
      </c>
      <c r="AC18" s="49"/>
      <c r="AD18" s="49"/>
      <c r="AE18" s="49"/>
      <c r="AF18" s="49"/>
      <c r="AG18" s="49"/>
      <c r="AH18" s="49"/>
      <c r="AI18" s="49"/>
      <c r="AJ18" s="49"/>
      <c r="AK18" s="49"/>
      <c r="AL18" s="49"/>
    </row>
    <row r="19" spans="1:38" x14ac:dyDescent="0.25">
      <c r="A19" s="64" t="s">
        <v>78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97">
        <f t="shared" si="4"/>
        <v>250</v>
      </c>
      <c r="O19" s="78">
        <v>4.992</v>
      </c>
      <c r="P19" s="98">
        <v>0.4869</v>
      </c>
      <c r="Q19" s="75">
        <v>-4.9299999999999997E-2</v>
      </c>
      <c r="R19" s="75">
        <v>1.8220000000000001E-3</v>
      </c>
      <c r="S19" s="75">
        <v>-2.8560000000000001E-5</v>
      </c>
      <c r="T19" s="76">
        <v>1.7039999999999999E-7</v>
      </c>
      <c r="U19" s="65"/>
      <c r="V19" s="97">
        <f t="shared" si="5"/>
        <v>250</v>
      </c>
      <c r="W19" s="78">
        <v>3.0569999999999999</v>
      </c>
      <c r="X19" s="98">
        <v>0.24249999999999999</v>
      </c>
      <c r="Y19" s="75">
        <v>-9.3690000000000006E-3</v>
      </c>
      <c r="Z19" s="75">
        <v>1.6349999999999999E-4</v>
      </c>
      <c r="AA19" s="75">
        <v>-1.781E-6</v>
      </c>
      <c r="AB19" s="99">
        <v>1.5160000000000001E-8</v>
      </c>
      <c r="AC19" s="49"/>
      <c r="AD19" s="49"/>
      <c r="AE19" s="49"/>
      <c r="AF19" s="49"/>
      <c r="AG19" s="49"/>
      <c r="AH19" s="49"/>
      <c r="AI19" s="49"/>
      <c r="AJ19" s="49"/>
      <c r="AK19" s="49"/>
      <c r="AL19" s="49"/>
    </row>
    <row r="20" spans="1:38" x14ac:dyDescent="0.2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97">
        <f t="shared" si="4"/>
        <v>500</v>
      </c>
      <c r="O20" s="78">
        <v>4.6929999999999996</v>
      </c>
      <c r="P20" s="98">
        <v>0.49960000000000004</v>
      </c>
      <c r="Q20" s="75">
        <v>-5.0110000000000002E-2</v>
      </c>
      <c r="R20" s="75">
        <v>1.8810000000000001E-3</v>
      </c>
      <c r="S20" s="75">
        <v>-2.923E-5</v>
      </c>
      <c r="T20" s="76">
        <v>1.674E-7</v>
      </c>
      <c r="U20" s="65"/>
      <c r="V20" s="97">
        <f t="shared" si="5"/>
        <v>500</v>
      </c>
      <c r="W20" s="78">
        <v>2.9809999999999999</v>
      </c>
      <c r="X20" s="98">
        <v>0.34010000000000001</v>
      </c>
      <c r="Y20" s="75">
        <v>-1.7729999999999999E-2</v>
      </c>
      <c r="Z20" s="75">
        <v>3.6969999999999999E-4</v>
      </c>
      <c r="AA20" s="75">
        <v>-3.0400000000000001E-6</v>
      </c>
      <c r="AB20" s="99">
        <v>1.137E-8</v>
      </c>
      <c r="AC20" s="49"/>
      <c r="AD20" s="49"/>
      <c r="AE20" s="49"/>
      <c r="AF20" s="49"/>
      <c r="AG20" s="49"/>
      <c r="AH20" s="49"/>
      <c r="AI20" s="49"/>
      <c r="AJ20" s="49"/>
      <c r="AK20" s="49"/>
      <c r="AL20" s="49"/>
    </row>
    <row r="21" spans="1:38" x14ac:dyDescent="0.2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97">
        <f t="shared" si="4"/>
        <v>750</v>
      </c>
      <c r="O21" s="78">
        <v>4.484</v>
      </c>
      <c r="P21" s="98">
        <v>0.49570000000000003</v>
      </c>
      <c r="Q21" s="75">
        <v>-5.0610000000000002E-2</v>
      </c>
      <c r="R21" s="75">
        <v>1.936E-3</v>
      </c>
      <c r="S21" s="75">
        <v>-3.0009999999999999E-5</v>
      </c>
      <c r="T21" s="76">
        <v>1.68E-7</v>
      </c>
      <c r="U21" s="65"/>
      <c r="V21" s="97">
        <f t="shared" si="5"/>
        <v>750</v>
      </c>
      <c r="W21" s="78">
        <v>3.0350000000000001</v>
      </c>
      <c r="X21" s="98">
        <v>0.37490000000000001</v>
      </c>
      <c r="Y21" s="75">
        <v>-2.2069999999999999E-2</v>
      </c>
      <c r="Z21" s="75">
        <v>5.0290000000000003E-4</v>
      </c>
      <c r="AA21" s="75">
        <v>-4.2139999999999998E-6</v>
      </c>
      <c r="AB21" s="99">
        <v>1.1900000000000001E-8</v>
      </c>
      <c r="AC21" s="49"/>
      <c r="AD21" s="49"/>
      <c r="AE21" s="49"/>
      <c r="AF21" s="49"/>
      <c r="AG21" s="49"/>
      <c r="AH21" s="49"/>
      <c r="AI21" s="49"/>
      <c r="AJ21" s="49"/>
      <c r="AK21" s="49"/>
      <c r="AL21" s="49"/>
    </row>
    <row r="22" spans="1:38" x14ac:dyDescent="0.25">
      <c r="A22" s="64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97" t="str">
        <f t="shared" si="4"/>
        <v>1 000</v>
      </c>
      <c r="O22" s="78">
        <v>4.3520000000000003</v>
      </c>
      <c r="P22" s="98">
        <v>0.48250000000000004</v>
      </c>
      <c r="Q22" s="75">
        <v>-5.0259999999999999E-2</v>
      </c>
      <c r="R22" s="75">
        <v>1.9650000000000002E-3</v>
      </c>
      <c r="S22" s="75">
        <v>-3.061E-5</v>
      </c>
      <c r="T22" s="76">
        <v>1.698E-7</v>
      </c>
      <c r="U22" s="65"/>
      <c r="V22" s="97" t="str">
        <f t="shared" si="5"/>
        <v>1 000</v>
      </c>
      <c r="W22" s="78">
        <v>3.1230000000000002</v>
      </c>
      <c r="X22" s="98">
        <v>0.39240000000000003</v>
      </c>
      <c r="Y22" s="75">
        <v>-2.511E-2</v>
      </c>
      <c r="Z22" s="75">
        <v>6.1910000000000003E-4</v>
      </c>
      <c r="AA22" s="75">
        <v>-5.6439999999999997E-6</v>
      </c>
      <c r="AB22" s="99">
        <v>1.653E-8</v>
      </c>
      <c r="AC22" s="49"/>
      <c r="AD22" s="49"/>
      <c r="AE22" s="49"/>
      <c r="AF22" s="49"/>
      <c r="AG22" s="49"/>
      <c r="AH22" s="49"/>
      <c r="AI22" s="49"/>
      <c r="AJ22" s="49"/>
      <c r="AK22" s="49"/>
      <c r="AL22" s="49"/>
    </row>
    <row r="23" spans="1:38" x14ac:dyDescent="0.2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97" t="str">
        <f t="shared" si="4"/>
        <v>1 500</v>
      </c>
      <c r="O23" s="78">
        <v>4.2089999999999996</v>
      </c>
      <c r="P23" s="98">
        <v>0.47670000000000007</v>
      </c>
      <c r="Q23" s="75">
        <v>-5.0750000000000003E-2</v>
      </c>
      <c r="R23" s="75">
        <v>2.0470000000000002E-3</v>
      </c>
      <c r="S23" s="75">
        <v>-3.2190000000000002E-5</v>
      </c>
      <c r="T23" s="76">
        <v>1.7700000000000001E-7</v>
      </c>
      <c r="U23" s="65"/>
      <c r="V23" s="97" t="str">
        <f t="shared" si="5"/>
        <v>1 500</v>
      </c>
      <c r="W23" s="78">
        <v>3.3180000000000001</v>
      </c>
      <c r="X23" s="98">
        <v>0.39540000000000003</v>
      </c>
      <c r="Y23" s="75">
        <v>-2.7570000000000001E-2</v>
      </c>
      <c r="Z23" s="75">
        <v>7.316E-4</v>
      </c>
      <c r="AA23" s="75">
        <v>-6.9739999999999996E-6</v>
      </c>
      <c r="AB23" s="99">
        <v>1.9079999999999999E-8</v>
      </c>
      <c r="AC23" s="49"/>
      <c r="AD23" s="49"/>
      <c r="AE23" s="49"/>
      <c r="AF23" s="49"/>
      <c r="AG23" s="49"/>
      <c r="AH23" s="49"/>
      <c r="AI23" s="49"/>
      <c r="AJ23" s="49"/>
      <c r="AK23" s="49"/>
      <c r="AL23" s="49"/>
    </row>
    <row r="24" spans="1:38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97" t="str">
        <f t="shared" si="4"/>
        <v>2 000</v>
      </c>
      <c r="O24" s="78">
        <v>4.2530000000000001</v>
      </c>
      <c r="P24" s="98">
        <v>0.45500000000000002</v>
      </c>
      <c r="Q24" s="75">
        <v>-4.8989999999999999E-2</v>
      </c>
      <c r="R24" s="75">
        <v>2.0149999999999999E-3</v>
      </c>
      <c r="S24" s="75">
        <v>-3.1649999999999997E-5</v>
      </c>
      <c r="T24" s="76">
        <v>1.7100000000000001E-7</v>
      </c>
      <c r="U24" s="65"/>
      <c r="V24" s="97" t="str">
        <f t="shared" si="5"/>
        <v>2 000</v>
      </c>
      <c r="W24" s="78">
        <v>3.4569999999999999</v>
      </c>
      <c r="X24" s="98">
        <v>0.40339999999999998</v>
      </c>
      <c r="Y24" s="75">
        <v>-2.9729999999999999E-2</v>
      </c>
      <c r="Z24" s="75">
        <v>8.2989999999999995E-4</v>
      </c>
      <c r="AA24" s="75">
        <v>-8.1300000000000001E-6</v>
      </c>
      <c r="AB24" s="99">
        <v>2.0929999999999999E-8</v>
      </c>
      <c r="AC24" s="49"/>
      <c r="AD24" s="49"/>
      <c r="AE24" s="49"/>
      <c r="AF24" s="49"/>
      <c r="AG24" s="49"/>
      <c r="AH24" s="49"/>
      <c r="AI24" s="49"/>
      <c r="AJ24" s="49"/>
      <c r="AK24" s="49"/>
      <c r="AL24" s="49"/>
    </row>
    <row r="25" spans="1:38" x14ac:dyDescent="0.25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97" t="str">
        <f t="shared" si="4"/>
        <v>3 000</v>
      </c>
      <c r="O25" s="78">
        <v>4.343</v>
      </c>
      <c r="P25" s="98">
        <v>0.47430000000000005</v>
      </c>
      <c r="Q25" s="75">
        <v>-5.135E-2</v>
      </c>
      <c r="R25" s="75">
        <v>2.1940000000000002E-3</v>
      </c>
      <c r="S25" s="75">
        <v>-3.5439999999999999E-5</v>
      </c>
      <c r="T25" s="76">
        <v>1.955E-7</v>
      </c>
      <c r="U25" s="65"/>
      <c r="V25" s="97" t="str">
        <f t="shared" si="5"/>
        <v>3 000</v>
      </c>
      <c r="W25" s="78">
        <v>3.69</v>
      </c>
      <c r="X25" s="98">
        <v>0.40010000000000007</v>
      </c>
      <c r="Y25" s="75">
        <v>-3.1119999999999998E-2</v>
      </c>
      <c r="Z25" s="75">
        <v>9.4189999999999996E-4</v>
      </c>
      <c r="AA25" s="75">
        <v>-1.004E-5</v>
      </c>
      <c r="AB25" s="99">
        <v>2.9379999999999999E-8</v>
      </c>
      <c r="AC25" s="49"/>
      <c r="AD25" s="49"/>
      <c r="AE25" s="49"/>
      <c r="AF25" s="49"/>
      <c r="AG25" s="49"/>
      <c r="AH25" s="49"/>
      <c r="AI25" s="49"/>
      <c r="AJ25" s="49"/>
      <c r="AK25" s="49"/>
      <c r="AL25" s="49"/>
    </row>
    <row r="26" spans="1:38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97" t="str">
        <f t="shared" si="4"/>
        <v>4 000</v>
      </c>
      <c r="O26" s="78">
        <v>4.6139999999999999</v>
      </c>
      <c r="P26" s="98">
        <v>0.47360000000000002</v>
      </c>
      <c r="Q26" s="75">
        <v>-5.0139999999999997E-2</v>
      </c>
      <c r="R26" s="75">
        <v>2.163E-3</v>
      </c>
      <c r="S26" s="75">
        <v>-3.455E-5</v>
      </c>
      <c r="T26" s="76">
        <v>1.8400000000000001E-7</v>
      </c>
      <c r="U26" s="65"/>
      <c r="V26" s="97" t="str">
        <f t="shared" si="5"/>
        <v>4 000</v>
      </c>
      <c r="W26" s="78">
        <v>3.86</v>
      </c>
      <c r="X26" s="98">
        <v>0.39070000000000005</v>
      </c>
      <c r="Y26" s="75">
        <v>-3.0329999999999999E-2</v>
      </c>
      <c r="Z26" s="75">
        <v>9.2590000000000001E-4</v>
      </c>
      <c r="AA26" s="75">
        <v>-9.132E-6</v>
      </c>
      <c r="AB26" s="99">
        <v>1.6420000000000001E-8</v>
      </c>
      <c r="AC26" s="49"/>
      <c r="AD26" s="49"/>
      <c r="AE26" s="49"/>
      <c r="AF26" s="49"/>
      <c r="AG26" s="49"/>
      <c r="AH26" s="49"/>
      <c r="AI26" s="49"/>
      <c r="AJ26" s="49"/>
      <c r="AK26" s="49"/>
      <c r="AL26" s="49"/>
    </row>
    <row r="27" spans="1:38" x14ac:dyDescent="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97" t="str">
        <f t="shared" si="4"/>
        <v>6 000</v>
      </c>
      <c r="O27" s="78">
        <v>5.2009999999999996</v>
      </c>
      <c r="P27" s="98">
        <v>0.49520000000000003</v>
      </c>
      <c r="Q27" s="75">
        <v>-4.9779999999999998E-2</v>
      </c>
      <c r="R27" s="75">
        <v>2.1810000000000002E-3</v>
      </c>
      <c r="S27" s="75">
        <v>-3.4629999999999999E-5</v>
      </c>
      <c r="T27" s="76">
        <v>1.7749999999999999E-7</v>
      </c>
      <c r="U27" s="65"/>
      <c r="V27" s="97" t="str">
        <f t="shared" si="5"/>
        <v>6 000</v>
      </c>
      <c r="W27" s="78">
        <v>4.0279999999999996</v>
      </c>
      <c r="X27" s="98">
        <v>0.41189999999999999</v>
      </c>
      <c r="Y27" s="75">
        <v>-3.2059999999999998E-2</v>
      </c>
      <c r="Z27" s="75">
        <v>1.0640000000000001E-3</v>
      </c>
      <c r="AA27" s="75">
        <v>-1.155E-5</v>
      </c>
      <c r="AB27" s="99">
        <v>2.6700000000000001E-8</v>
      </c>
      <c r="AC27" s="49"/>
      <c r="AD27" s="49"/>
      <c r="AE27" s="49"/>
      <c r="AF27" s="49"/>
      <c r="AG27" s="49"/>
      <c r="AH27" s="49"/>
      <c r="AI27" s="49"/>
      <c r="AJ27" s="49"/>
      <c r="AK27" s="49"/>
      <c r="AL27" s="49"/>
    </row>
    <row r="28" spans="1:38" x14ac:dyDescent="0.2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97" t="str">
        <f t="shared" si="4"/>
        <v>8 000</v>
      </c>
      <c r="O28" s="78">
        <v>5.8609999999999998</v>
      </c>
      <c r="P28" s="98">
        <v>0.50670000000000004</v>
      </c>
      <c r="Q28" s="75">
        <v>-4.7980000000000002E-2</v>
      </c>
      <c r="R28" s="75">
        <v>2.1380000000000001E-3</v>
      </c>
      <c r="S28" s="75">
        <v>-3.4060000000000003E-5</v>
      </c>
      <c r="T28" s="76">
        <v>1.712E-7</v>
      </c>
      <c r="U28" s="65"/>
      <c r="V28" s="97" t="str">
        <f t="shared" si="5"/>
        <v>8 000</v>
      </c>
      <c r="W28" s="78">
        <v>4.1029999999999998</v>
      </c>
      <c r="X28" s="98">
        <v>0.43019999999999997</v>
      </c>
      <c r="Y28" s="75">
        <v>-3.2460000000000003E-2</v>
      </c>
      <c r="Z28" s="75">
        <v>1.14E-3</v>
      </c>
      <c r="AA28" s="75">
        <v>-1.322E-5</v>
      </c>
      <c r="AB28" s="99">
        <v>3.5819999999999999E-8</v>
      </c>
      <c r="AC28" s="49"/>
      <c r="AD28" s="49"/>
      <c r="AE28" s="49"/>
      <c r="AF28" s="49"/>
      <c r="AG28" s="49"/>
      <c r="AH28" s="49"/>
      <c r="AI28" s="49"/>
      <c r="AJ28" s="49"/>
      <c r="AK28" s="49"/>
      <c r="AL28" s="49"/>
    </row>
    <row r="29" spans="1:38" ht="14.4" thickBot="1" x14ac:dyDescent="0.3">
      <c r="A29" s="100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2" t="s">
        <v>61</v>
      </c>
      <c r="O29" s="101"/>
      <c r="P29" s="101"/>
      <c r="Q29" s="101"/>
      <c r="R29" s="101"/>
      <c r="S29" s="101"/>
      <c r="T29" s="103"/>
      <c r="U29" s="101"/>
      <c r="V29" s="102" t="str">
        <f t="shared" si="5"/>
        <v>females</v>
      </c>
      <c r="W29" s="101"/>
      <c r="X29" s="101"/>
      <c r="Y29" s="101"/>
      <c r="Z29" s="101"/>
      <c r="AA29" s="101"/>
      <c r="AB29" s="104"/>
      <c r="AC29" s="49"/>
      <c r="AD29" s="49"/>
      <c r="AE29" s="49"/>
      <c r="AF29" s="49"/>
      <c r="AG29" s="49"/>
      <c r="AH29" s="49"/>
      <c r="AI29" s="49"/>
      <c r="AJ29" s="49"/>
      <c r="AK29" s="49"/>
      <c r="AL29" s="49"/>
    </row>
    <row r="30" spans="1:38" ht="14.4" thickTop="1" x14ac:dyDescent="0.2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</row>
    <row r="31" spans="1:38" x14ac:dyDescent="0.25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</row>
    <row r="32" spans="1:38" x14ac:dyDescent="0.25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</row>
    <row r="33" spans="1:38" x14ac:dyDescent="0.25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</row>
    <row r="34" spans="1:38" x14ac:dyDescent="0.25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</row>
    <row r="35" spans="1:38" x14ac:dyDescent="0.2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</row>
    <row r="36" spans="1:38" x14ac:dyDescent="0.25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50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</row>
    <row r="37" spans="1:38" x14ac:dyDescent="0.2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0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</row>
    <row r="38" spans="1:38" x14ac:dyDescent="0.25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</row>
    <row r="39" spans="1:38" x14ac:dyDescent="0.2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</row>
    <row r="40" spans="1:38" x14ac:dyDescent="0.2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</row>
    <row r="41" spans="1:38" x14ac:dyDescent="0.25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</row>
    <row r="42" spans="1:38" x14ac:dyDescent="0.2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</row>
    <row r="43" spans="1:38" x14ac:dyDescent="0.2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</row>
    <row r="44" spans="1:38" x14ac:dyDescent="0.2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</row>
    <row r="45" spans="1:38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</row>
    <row r="46" spans="1:38" x14ac:dyDescent="0.25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</row>
    <row r="47" spans="1:38" x14ac:dyDescent="0.2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</row>
    <row r="48" spans="1:38" x14ac:dyDescent="0.25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</row>
    <row r="49" spans="1:38" x14ac:dyDescent="0.2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</row>
    <row r="50" spans="1:38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</row>
    <row r="51" spans="1:38" x14ac:dyDescent="0.2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</row>
    <row r="52" spans="1:38" x14ac:dyDescent="0.25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</row>
    <row r="53" spans="1:38" x14ac:dyDescent="0.2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</row>
    <row r="54" spans="1:38" x14ac:dyDescent="0.25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</row>
    <row r="55" spans="1:38" x14ac:dyDescent="0.25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</row>
    <row r="56" spans="1:38" x14ac:dyDescent="0.25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</row>
    <row r="57" spans="1:38" x14ac:dyDescent="0.25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</row>
    <row r="58" spans="1:38" x14ac:dyDescent="0.25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</row>
    <row r="59" spans="1:38" x14ac:dyDescent="0.25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</row>
    <row r="60" spans="1:38" x14ac:dyDescent="0.25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</row>
    <row r="61" spans="1:38" x14ac:dyDescent="0.25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</row>
    <row r="62" spans="1:38" x14ac:dyDescent="0.25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</row>
    <row r="63" spans="1:38" x14ac:dyDescent="0.25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</row>
    <row r="64" spans="1:38" x14ac:dyDescent="0.25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</row>
    <row r="65" spans="1:38" x14ac:dyDescent="0.2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</row>
    <row r="66" spans="1:38" x14ac:dyDescent="0.25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</row>
    <row r="67" spans="1:38" x14ac:dyDescent="0.2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</row>
    <row r="68" spans="1:38" x14ac:dyDescent="0.25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</row>
    <row r="69" spans="1:38" x14ac:dyDescent="0.25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</row>
    <row r="70" spans="1:38" x14ac:dyDescent="0.25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</row>
    <row r="71" spans="1:38" x14ac:dyDescent="0.2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</row>
    <row r="72" spans="1:38" x14ac:dyDescent="0.25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</row>
    <row r="73" spans="1:38" x14ac:dyDescent="0.25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</row>
    <row r="74" spans="1:38" x14ac:dyDescent="0.25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</row>
    <row r="75" spans="1:38" x14ac:dyDescent="0.2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</row>
    <row r="76" spans="1:38" x14ac:dyDescent="0.25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</row>
    <row r="77" spans="1:38" x14ac:dyDescent="0.2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</row>
    <row r="78" spans="1:38" x14ac:dyDescent="0.25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</row>
    <row r="79" spans="1:38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</row>
    <row r="80" spans="1:38" x14ac:dyDescent="0.25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</row>
    <row r="81" spans="1:38" x14ac:dyDescent="0.2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</row>
    <row r="82" spans="1:38" x14ac:dyDescent="0.25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</row>
    <row r="83" spans="1:38" x14ac:dyDescent="0.25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</row>
    <row r="84" spans="1:38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</row>
    <row r="85" spans="1:38" x14ac:dyDescent="0.25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</row>
    <row r="86" spans="1:38" x14ac:dyDescent="0.25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</row>
    <row r="87" spans="1:38" x14ac:dyDescent="0.25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</row>
  </sheetData>
  <sheetProtection algorithmName="SHA-512" hashValue="pdW1s8bBDZhfx48jj2rr6vdKOVW4O6Z0PdJd5ZUzZfv8OCR5EmAc/kpMr0dozxwFHPq0nGo2jz8P3tvEXZ2+bg==" saltValue="+QpJh3gRb1b7pqJywkfV7Q==" spinCount="100000" sheet="1" objects="1" scenarios="1" selectLockedCells="1" selectUnlockedCells="1"/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T58"/>
  <sheetViews>
    <sheetView topLeftCell="A4" workbookViewId="0">
      <selection activeCell="E30" sqref="E30"/>
    </sheetView>
  </sheetViews>
  <sheetFormatPr baseColWidth="10" defaultRowHeight="13.2" x14ac:dyDescent="0.25"/>
  <cols>
    <col min="1" max="15" width="11.44140625" style="2"/>
    <col min="16" max="16" width="13" style="2" customWidth="1"/>
    <col min="17" max="19" width="11.44140625" style="2"/>
    <col min="20" max="20" width="24.5546875" customWidth="1"/>
  </cols>
  <sheetData>
    <row r="1" spans="1:19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20" ht="13.8" thickBo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20" ht="13.8" thickTop="1" x14ac:dyDescent="0.25">
      <c r="A24" s="51" t="s">
        <v>9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x14ac:dyDescent="0.2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6"/>
    </row>
    <row r="26" spans="1:20" x14ac:dyDescent="0.25">
      <c r="A26" s="54" t="s">
        <v>3</v>
      </c>
      <c r="B26" s="55"/>
      <c r="C26" s="55"/>
      <c r="D26" s="55" t="s">
        <v>25</v>
      </c>
      <c r="E26" s="55" t="s">
        <v>17</v>
      </c>
      <c r="F26" s="55" t="s">
        <v>16</v>
      </c>
      <c r="G26" s="55" t="s">
        <v>15</v>
      </c>
      <c r="H26" s="55" t="s">
        <v>22</v>
      </c>
      <c r="I26" s="55" t="s">
        <v>23</v>
      </c>
      <c r="J26" s="55" t="s">
        <v>18</v>
      </c>
      <c r="K26" s="55" t="s">
        <v>19</v>
      </c>
      <c r="L26" s="55" t="s">
        <v>20</v>
      </c>
      <c r="M26" s="55" t="s">
        <v>21</v>
      </c>
      <c r="N26" s="55" t="s">
        <v>24</v>
      </c>
      <c r="O26" s="55" t="s">
        <v>13</v>
      </c>
      <c r="P26" s="55" t="s">
        <v>14</v>
      </c>
      <c r="Q26" s="55" t="s">
        <v>10</v>
      </c>
      <c r="R26" s="55" t="s">
        <v>11</v>
      </c>
      <c r="S26" s="56" t="s">
        <v>12</v>
      </c>
    </row>
    <row r="27" spans="1:20" x14ac:dyDescent="0.25">
      <c r="A27" s="54">
        <v>125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6"/>
    </row>
    <row r="28" spans="1:20" x14ac:dyDescent="0.25">
      <c r="A28" s="54">
        <v>250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6"/>
    </row>
    <row r="29" spans="1:20" x14ac:dyDescent="0.25">
      <c r="A29" s="54">
        <v>500</v>
      </c>
      <c r="B29" s="55"/>
      <c r="C29" s="55"/>
      <c r="D29" s="55">
        <f>IF(AND('ISO 1999'!$D$6&lt;=40,'ISO 1999'!$D$6&gt;=1,('ISO 1999'!$D$5-'ISO 1999'!$D$6)&gt;=18,'ISO 1999'!$F$4="o.k.",'ISO 1999'!$F$5="o.k.",'ISO 1999'!$F$6="o.k.",'ISO 1999'!$F$7="o.k.",'ISO 1999'!$F$8="o.k."),SUM(E29:G29),0)</f>
        <v>0</v>
      </c>
      <c r="E29" s="55">
        <f>IF(AND('ISO 1999'!$D$8&gt;0.5,OR('ISO 1999'!$D$8=0.55,'ISO 1999'!$D$8=0.6,'ISO 1999'!$D$8=0.65,'ISO 1999'!$D$8=0.7,'ISO 1999'!$D$8=0.75,'ISO 1999'!$D$8=0.8,'ISO 1999'!$D$8=0.85,'ISO 1999'!$D$8=0.9,'ISO 1999'!$D$8=0.95,)),N29-$D$38*I29,0)</f>
        <v>0</v>
      </c>
      <c r="F29" s="55">
        <f>IF('ISO 1999'!$D$8=0.5,N29,0)</f>
        <v>0</v>
      </c>
      <c r="G29" s="55">
        <f>IF(AND('ISO 1999'!$D$8&lt;0.5,OR('ISO 1999'!$D$8=0.05,'ISO 1999'!$D$8=0.1,'ISO 1999'!$D$8=0.15,'ISO 1999'!$D$8=0.2,'ISO 1999'!$D$8=0.25,'ISO 1999'!$D$8=0.3,'ISO 1999'!$D$8=0.35,'ISO 1999'!$D$8=0.4,'ISO 1999'!$D$8=0.45,)),N29+$D$38*H29,0)</f>
        <v>0</v>
      </c>
      <c r="H29" s="57">
        <f>IF(AND('ISO 1999'!$D$7&gt;75,'ISO 1999'!$D$7&lt;=100,'ISO 1999'!$D$7&gt;S29),(J29+K29*LOG('ISO 1999'!$D$6,10))*(('ISO 1999'!$D$7-S29)^2),0)</f>
        <v>0</v>
      </c>
      <c r="I29" s="57">
        <f>IF(AND('ISO 1999'!$D$7&gt;75,'ISO 1999'!$D$7&lt;=100,'ISO 1999'!$D$7&gt;S29),(L29+M29*LOG('ISO 1999'!$D$6,10))*(('ISO 1999'!$D$7-S29)^2),0)</f>
        <v>0</v>
      </c>
      <c r="J29" s="55">
        <v>4.3999999999999997E-2</v>
      </c>
      <c r="K29" s="55">
        <v>1.6E-2</v>
      </c>
      <c r="L29" s="55">
        <v>3.3000000000000002E-2</v>
      </c>
      <c r="M29" s="55">
        <v>2E-3</v>
      </c>
      <c r="N29" s="55">
        <f>SUM(O29:P29)</f>
        <v>0</v>
      </c>
      <c r="O29" s="55">
        <f>IF(AND('ISO 1999'!$D$6&lt;10,'ISO 1999'!$D$6&gt;=1,'ISO 1999'!$D$7&gt;S29),(LOG('ISO 1999'!$D$6+1,10)/LOG(11,10)*(Q29+R29*LOG(10,10))*(('ISO 1999'!$D$7-S29)^2)),0)</f>
        <v>0</v>
      </c>
      <c r="P29" s="55">
        <f>IF(AND('ISO 1999'!$D$6&gt;=10,'ISO 1999'!$D$6&lt;=40,'ISO 1999'!$D$7&gt;S29,'ISO 1999'!$D$7&lt;=100),((Q29+R29*LOG('ISO 1999'!$D$6,10))*(('ISO 1999'!$D$7-S29)^2)),0)</f>
        <v>0</v>
      </c>
      <c r="Q29" s="55">
        <v>-3.3000000000000002E-2</v>
      </c>
      <c r="R29" s="55">
        <v>0.11</v>
      </c>
      <c r="S29" s="56">
        <v>93</v>
      </c>
    </row>
    <row r="30" spans="1:20" x14ac:dyDescent="0.25">
      <c r="A30" s="54">
        <v>1000</v>
      </c>
      <c r="B30" s="55"/>
      <c r="C30" s="55"/>
      <c r="D30" s="55">
        <f>IF(AND('ISO 1999'!$D$6&lt;=40,'ISO 1999'!$D$6&gt;=1,('ISO 1999'!$D$5-'ISO 1999'!$D$6)&gt;=18,'ISO 1999'!$F$4="o.k.",'ISO 1999'!$F$5="o.k.",'ISO 1999'!$F$6="o.k.",'ISO 1999'!$F$7="o.k.",'ISO 1999'!$F$8="o.k."),SUM(E30:G30),0)</f>
        <v>8.8084763104519292E-2</v>
      </c>
      <c r="E30" s="55">
        <f>IF(AND('ISO 1999'!$D$8&gt;0.5,OR('ISO 1999'!$D$8=0.55,'ISO 1999'!$D$8=0.6,'ISO 1999'!$D$8=0.65,'ISO 1999'!$D$8=0.7,'ISO 1999'!$D$8=0.75,'ISO 1999'!$D$8=0.8,'ISO 1999'!$D$8=0.85,'ISO 1999'!$D$8=0.9,'ISO 1999'!$D$8=0.95,)),N30-$D$38*I30,0)</f>
        <v>0</v>
      </c>
      <c r="F30" s="55">
        <f>IF('ISO 1999'!$D$8=0.5,N30,0)</f>
        <v>8.8084763104519292E-2</v>
      </c>
      <c r="G30" s="55">
        <f>IF(AND('ISO 1999'!$D$8&lt;0.5,OR('ISO 1999'!$D$8=0.05,'ISO 1999'!$D$8=0.1,'ISO 1999'!$D$8=0.15,'ISO 1999'!$D$8=0.2,'ISO 1999'!$D$8=0.25,'ISO 1999'!$D$8=0.3,'ISO 1999'!$D$8=0.35,'ISO 1999'!$D$8=0.4,'ISO 1999'!$D$8=0.45,)),N30+$D$38*H30,0)</f>
        <v>0</v>
      </c>
      <c r="H30" s="57">
        <f>IF(AND('ISO 1999'!$D$7&gt;75,'ISO 1999'!$D$7&lt;=100,'ISO 1999'!$D$7&gt;S30),(J30+K30*LOG('ISO 1999'!$D$6,10))*(('ISO 1999'!$D$7-S30)^2),0)</f>
        <v>4.6705088709604409E-2</v>
      </c>
      <c r="I30" s="57">
        <f>IF(AND('ISO 1999'!$D$7&gt;75,'ISO 1999'!$D$7&lt;=100,'ISO 1999'!$D$7&gt;S30),(L30+M30*LOG('ISO 1999'!$D$6,10))*(('ISO 1999'!$D$7-S30)^2),0)</f>
        <v>0.02</v>
      </c>
      <c r="J30" s="55">
        <v>2.1999999999999999E-2</v>
      </c>
      <c r="K30" s="55">
        <v>1.6E-2</v>
      </c>
      <c r="L30" s="55">
        <v>0.02</v>
      </c>
      <c r="M30" s="55">
        <v>0</v>
      </c>
      <c r="N30" s="55">
        <f t="shared" ref="N30:N35" si="0">SUM(O30:P30)</f>
        <v>8.8084763104519292E-2</v>
      </c>
      <c r="O30" s="55">
        <f>IF(AND('ISO 1999'!$D$6&lt;10,'ISO 1999'!$D$6&gt;=1,'ISO 1999'!$D$7&gt;S30),(LOG('ISO 1999'!$D$6+1,10)/LOG(11,10)*(Q30+R30*LOG(10,10))*(('ISO 1999'!$D$7-S30)^2)),0)</f>
        <v>0</v>
      </c>
      <c r="P30" s="55">
        <f>IF(AND('ISO 1999'!$D$6&gt;=10,'ISO 1999'!$D$6&lt;=40,'ISO 1999'!$D$7&gt;S30,'ISO 1999'!$D$7&lt;=100),((Q30+R30*LOG('ISO 1999'!$D$6,10))*(('ISO 1999'!$D$7-S30)^2)),0)</f>
        <v>8.8084763104519292E-2</v>
      </c>
      <c r="Q30" s="55">
        <v>-0.02</v>
      </c>
      <c r="R30" s="55">
        <v>7.0000000000000007E-2</v>
      </c>
      <c r="S30" s="56">
        <v>89</v>
      </c>
    </row>
    <row r="31" spans="1:20" x14ac:dyDescent="0.25">
      <c r="A31" s="54">
        <v>1500</v>
      </c>
      <c r="B31" s="55"/>
      <c r="C31" s="55"/>
      <c r="D31" s="55"/>
      <c r="E31" s="55"/>
      <c r="F31" s="55"/>
      <c r="G31" s="55"/>
      <c r="H31" s="57"/>
      <c r="I31" s="57"/>
      <c r="J31" s="55"/>
      <c r="K31" s="55"/>
      <c r="L31" s="55"/>
      <c r="M31" s="55"/>
      <c r="N31" s="55"/>
      <c r="O31" s="55"/>
      <c r="P31" s="55"/>
      <c r="Q31" s="55"/>
      <c r="R31" s="55"/>
      <c r="S31" s="56"/>
      <c r="T31" s="37"/>
    </row>
    <row r="32" spans="1:20" x14ac:dyDescent="0.25">
      <c r="A32" s="54">
        <v>2000</v>
      </c>
      <c r="B32" s="55"/>
      <c r="C32" s="55"/>
      <c r="D32" s="55">
        <f>IF(AND('ISO 1999'!$D$6&lt;=40,'ISO 1999'!$D$6&gt;=1,('ISO 1999'!$D$5-'ISO 1999'!$D$6)&gt;=18,'ISO 1999'!$F$4="o.k.",'ISO 1999'!$F$5="o.k.",'ISO 1999'!$F$6="o.k.",'ISO 1999'!$F$7="o.k.",'ISO 1999'!$F$8="o.k."),SUM(E32:G32),0)</f>
        <v>5.6908490927118178</v>
      </c>
      <c r="E32" s="55">
        <f>IF(AND('ISO 1999'!$D$8&gt;0.5,OR('ISO 1999'!$D$8=0.55,'ISO 1999'!$D$8=0.6,'ISO 1999'!$D$8=0.65,'ISO 1999'!$D$8=0.7,'ISO 1999'!$D$8=0.75,'ISO 1999'!$D$8=0.8,'ISO 1999'!$D$8=0.85,'ISO 1999'!$D$8=0.9,'ISO 1999'!$D$8=0.95,)),N32-$D$38*I32,0)</f>
        <v>0</v>
      </c>
      <c r="F32" s="55">
        <f>IF('ISO 1999'!$D$8=0.5,N32,0)</f>
        <v>5.6908490927118178</v>
      </c>
      <c r="G32" s="55">
        <f>IF(AND('ISO 1999'!$D$8&lt;0.5,OR('ISO 1999'!$D$8=0.05,'ISO 1999'!$D$8=0.1,'ISO 1999'!$D$8=0.15,'ISO 1999'!$D$8=0.2,'ISO 1999'!$D$8=0.25,'ISO 1999'!$D$8=0.3,'ISO 1999'!$D$8=0.35,'ISO 1999'!$D$8=0.4,'ISO 1999'!$D$8=0.45,)),N32+$D$38*H32,0)</f>
        <v>0</v>
      </c>
      <c r="H32" s="57">
        <f>IF(AND('ISO 1999'!$D$7&gt;75,'ISO 1999'!$D$7&lt;=100,'ISO 1999'!$D$7&gt;S32),(J32+K32*LOG('ISO 1999'!$D$6,10))*(('ISO 1999'!$D$7-S32)^2),0)</f>
        <v>2.7911863911299446</v>
      </c>
      <c r="I32" s="57">
        <f>IF(AND('ISO 1999'!$D$7&gt;75,'ISO 1999'!$D$7&lt;=100,'ISO 1999'!$D$7&gt;S32),(L32+M32*LOG('ISO 1999'!$D$6,10))*(('ISO 1999'!$D$7-S32)^2),0)</f>
        <v>1.6</v>
      </c>
      <c r="J32" s="55">
        <v>3.1E-2</v>
      </c>
      <c r="K32" s="55">
        <v>-2E-3</v>
      </c>
      <c r="L32" s="55">
        <v>1.6E-2</v>
      </c>
      <c r="M32" s="55">
        <v>0</v>
      </c>
      <c r="N32" s="55">
        <f t="shared" si="0"/>
        <v>5.6908490927118178</v>
      </c>
      <c r="O32" s="55">
        <f>IF(AND('ISO 1999'!$D$6&lt;10,'ISO 1999'!$D$6&gt;=1,'ISO 1999'!$D$7&gt;S32),(LOG('ISO 1999'!$D$6+1,10)/LOG(11,10)*(Q32+R32*LOG(10,10))*(('ISO 1999'!$D$7-S32)^2)),0)</f>
        <v>0</v>
      </c>
      <c r="P32" s="55">
        <f>IF(AND('ISO 1999'!$D$6&gt;=10,'ISO 1999'!$D$6&lt;=40,'ISO 1999'!$D$7&gt;S32,'ISO 1999'!$D$7&lt;=100),((Q32+R32*LOG('ISO 1999'!$D$6,10))*(('ISO 1999'!$D$7-S32)^2)),0)</f>
        <v>5.6908490927118178</v>
      </c>
      <c r="Q32" s="55">
        <v>-4.4999999999999998E-2</v>
      </c>
      <c r="R32" s="55">
        <v>6.6000000000000003E-2</v>
      </c>
      <c r="S32" s="56">
        <v>80</v>
      </c>
    </row>
    <row r="33" spans="1:19" x14ac:dyDescent="0.25">
      <c r="A33" s="54">
        <v>3000</v>
      </c>
      <c r="B33" s="55"/>
      <c r="C33" s="55"/>
      <c r="D33" s="55">
        <f>IF(AND('ISO 1999'!$D$6&lt;=40,'ISO 1999'!$D$6&gt;=1,('ISO 1999'!$D$5-'ISO 1999'!$D$6)&gt;=18,'ISO 1999'!$F$4="o.k.",'ISO 1999'!$F$5="o.k.",'ISO 1999'!$F$6="o.k.",'ISO 1999'!$F$7="o.k.",'ISO 1999'!$F$8="o.k."),SUM(E33:G33),0)</f>
        <v>11.683057481322273</v>
      </c>
      <c r="E33" s="55">
        <f>IF(AND('ISO 1999'!$D$8&gt;0.5,OR('ISO 1999'!$D$8=0.55,'ISO 1999'!$D$8=0.6,'ISO 1999'!$D$8=0.65,'ISO 1999'!$D$8=0.7,'ISO 1999'!$D$8=0.75,'ISO 1999'!$D$8=0.8,'ISO 1999'!$D$8=0.85,'ISO 1999'!$D$8=0.9,'ISO 1999'!$D$8=0.95,)),N33-$D$38*I33,0)</f>
        <v>0</v>
      </c>
      <c r="F33" s="55">
        <f>IF('ISO 1999'!$D$8=0.5,N33,0)</f>
        <v>11.683057481322273</v>
      </c>
      <c r="G33" s="55">
        <f>IF(AND('ISO 1999'!$D$8&lt;0.5,OR('ISO 1999'!$D$8=0.05,'ISO 1999'!$D$8=0.1,'ISO 1999'!$D$8=0.15,'ISO 1999'!$D$8=0.2,'ISO 1999'!$D$8=0.25,'ISO 1999'!$D$8=0.3,'ISO 1999'!$D$8=0.35,'ISO 1999'!$D$8=0.4,'ISO 1999'!$D$8=0.45,)),N33+$D$38*H33,0)</f>
        <v>0</v>
      </c>
      <c r="H33" s="57">
        <f>IF(AND('ISO 1999'!$D$7&gt;75,'ISO 1999'!$D$7&lt;=100,'ISO 1999'!$D$7&gt;S33),(J33+K33*LOG('ISO 1999'!$D$6,10))*(('ISO 1999'!$D$7-S33)^2),0)</f>
        <v>5.3581599919231451</v>
      </c>
      <c r="I33" s="57">
        <f>IF(AND('ISO 1999'!$D$7&gt;75,'ISO 1999'!$D$7&lt;=100,'ISO 1999'!$D$7&gt;S33),(L33+M33*LOG('ISO 1999'!$D$6,10))*(('ISO 1999'!$D$7-S33)^2),0)</f>
        <v>2.2915250050480345</v>
      </c>
      <c r="J33" s="55">
        <v>7.0000000000000001E-3</v>
      </c>
      <c r="K33" s="55">
        <v>1.6E-2</v>
      </c>
      <c r="L33" s="55">
        <v>2.9000000000000001E-2</v>
      </c>
      <c r="M33" s="55">
        <v>-0.01</v>
      </c>
      <c r="N33" s="55">
        <f t="shared" si="0"/>
        <v>11.683057481322273</v>
      </c>
      <c r="O33" s="55">
        <f>IF(AND('ISO 1999'!$D$6&lt;10,'ISO 1999'!$D$6&gt;=1,'ISO 1999'!$D$7&gt;S33),(LOG('ISO 1999'!$D$6+1,10)/LOG(11,10)*(Q33+R33*LOG(10,10))*(('ISO 1999'!$D$7-S33)^2)),0)</f>
        <v>0</v>
      </c>
      <c r="P33" s="55">
        <f>IF(AND('ISO 1999'!$D$6&gt;=10,'ISO 1999'!$D$6&lt;=40,'ISO 1999'!$D$7&gt;S33,'ISO 1999'!$D$7&lt;=100),((Q33+R33*LOG('ISO 1999'!$D$6,10))*(('ISO 1999'!$D$7-S33)^2)),0)</f>
        <v>11.683057481322273</v>
      </c>
      <c r="Q33" s="55">
        <v>1.2E-2</v>
      </c>
      <c r="R33" s="55">
        <v>3.6999999999999998E-2</v>
      </c>
      <c r="S33" s="56">
        <v>77</v>
      </c>
    </row>
    <row r="34" spans="1:19" x14ac:dyDescent="0.25">
      <c r="A34" s="54">
        <v>4000</v>
      </c>
      <c r="B34" s="55"/>
      <c r="C34" s="55"/>
      <c r="D34" s="55">
        <f>IF(AND('ISO 1999'!$D$6&lt;=40,'ISO 1999'!$D$6&gt;=1,('ISO 1999'!$D$5-'ISO 1999'!$D$6)&gt;=18,'ISO 1999'!$F$4="o.k.",'ISO 1999'!$F$5="o.k.",'ISO 1999'!$F$6="o.k.",'ISO 1999'!$F$7="o.k.",'ISO 1999'!$F$8="o.k."),SUM(E34:G34),0)</f>
        <v>14.3103827494703</v>
      </c>
      <c r="E34" s="55">
        <f>IF(AND('ISO 1999'!$D$8&gt;0.5,OR('ISO 1999'!$D$8=0.55,'ISO 1999'!$D$8=0.6,'ISO 1999'!$D$8=0.65,'ISO 1999'!$D$8=0.7,'ISO 1999'!$D$8=0.75,'ISO 1999'!$D$8=0.8,'ISO 1999'!$D$8=0.85,'ISO 1999'!$D$8=0.9,'ISO 1999'!$D$8=0.95,)),N34-$D$38*I34,0)</f>
        <v>0</v>
      </c>
      <c r="F34" s="55">
        <f>IF('ISO 1999'!$D$8=0.5,N34,0)</f>
        <v>14.3103827494703</v>
      </c>
      <c r="G34" s="55">
        <f>IF(AND('ISO 1999'!$D$8&lt;0.5,OR('ISO 1999'!$D$8=0.05,'ISO 1999'!$D$8=0.1,'ISO 1999'!$D$8=0.15,'ISO 1999'!$D$8=0.2,'ISO 1999'!$D$8=0.25,'ISO 1999'!$D$8=0.3,'ISO 1999'!$D$8=0.35,'ISO 1999'!$D$8=0.4,'ISO 1999'!$D$8=0.45,)),N34+$D$38*H34,0)</f>
        <v>0</v>
      </c>
      <c r="H34" s="57">
        <f>IF(AND('ISO 1999'!$D$7&gt;75,'ISO 1999'!$D$7&lt;=100,'ISO 1999'!$D$7&gt;S34),(J34+K34*LOG('ISO 1999'!$D$6,10))*(('ISO 1999'!$D$7-S34)^2),0)</f>
        <v>4.2517377898093081</v>
      </c>
      <c r="I34" s="57">
        <f>IF(AND('ISO 1999'!$D$7&gt;75,'ISO 1999'!$D$7&lt;=100,'ISO 1999'!$D$7&gt;S34),(L34+M34*LOG('ISO 1999'!$D$6,10))*(('ISO 1999'!$D$7-S34)^2),0)</f>
        <v>2.9051693800423761</v>
      </c>
      <c r="J34" s="55">
        <v>5.0000000000000001E-3</v>
      </c>
      <c r="K34" s="55">
        <v>8.9999999999999993E-3</v>
      </c>
      <c r="L34" s="55">
        <v>1.6E-2</v>
      </c>
      <c r="M34" s="55">
        <v>-2E-3</v>
      </c>
      <c r="N34" s="55">
        <f t="shared" si="0"/>
        <v>14.3103827494703</v>
      </c>
      <c r="O34" s="55">
        <f>IF(AND('ISO 1999'!$D$6&lt;10,'ISO 1999'!$D$6&gt;=1,'ISO 1999'!$D$7&gt;S34),(LOG('ISO 1999'!$D$6+1,10)/LOG(11,10)*(Q34+R34*LOG(10,10))*(('ISO 1999'!$D$7-S34)^2)),0)</f>
        <v>0</v>
      </c>
      <c r="P34" s="55">
        <f>IF(AND('ISO 1999'!$D$6&gt;=10,'ISO 1999'!$D$6&lt;=40,'ISO 1999'!$D$7&gt;S34,'ISO 1999'!$D$7&lt;=100),((Q34+R34*LOG('ISO 1999'!$D$6,10))*(('ISO 1999'!$D$7-S34)^2)),0)</f>
        <v>14.3103827494703</v>
      </c>
      <c r="Q34" s="55">
        <v>2.5000000000000001E-2</v>
      </c>
      <c r="R34" s="55">
        <v>2.5000000000000001E-2</v>
      </c>
      <c r="S34" s="56">
        <v>75</v>
      </c>
    </row>
    <row r="35" spans="1:19" x14ac:dyDescent="0.25">
      <c r="A35" s="54">
        <v>6000</v>
      </c>
      <c r="B35" s="55"/>
      <c r="C35" s="55"/>
      <c r="D35" s="55">
        <f>IF(AND('ISO 1999'!$D$6&lt;=40,'ISO 1999'!$D$6&gt;=1,('ISO 1999'!$D$5-'ISO 1999'!$D$6)&gt;=18,'ISO 1999'!$F$4="o.k.",'ISO 1999'!$F$5="o.k.",'ISO 1999'!$F$6="o.k.",'ISO 1999'!$F$7="o.k.",'ISO 1999'!$F$8="o.k."),SUM(E35:G35),0)</f>
        <v>9.4737399878847182</v>
      </c>
      <c r="E35" s="55">
        <f>IF(AND('ISO 1999'!$D$8&gt;0.5,OR('ISO 1999'!$D$8=0.55,'ISO 1999'!$D$8=0.6,'ISO 1999'!$D$8=0.65,'ISO 1999'!$D$8=0.7,'ISO 1999'!$D$8=0.75,'ISO 1999'!$D$8=0.8,'ISO 1999'!$D$8=0.85,'ISO 1999'!$D$8=0.9,'ISO 1999'!$D$8=0.95,)),N35-$D$38*I35,0)</f>
        <v>0</v>
      </c>
      <c r="F35" s="55">
        <f>IF('ISO 1999'!$D$8=0.5,N35,0)</f>
        <v>9.4737399878847182</v>
      </c>
      <c r="G35" s="55">
        <f>IF(AND('ISO 1999'!$D$8&lt;0.5,OR('ISO 1999'!$D$8=0.05,'ISO 1999'!$D$8=0.1,'ISO 1999'!$D$8=0.15,'ISO 1999'!$D$8=0.2,'ISO 1999'!$D$8=0.25,'ISO 1999'!$D$8=0.3,'ISO 1999'!$D$8=0.35,'ISO 1999'!$D$8=0.4,'ISO 1999'!$D$8=0.45,)),N35+$D$38*H35,0)</f>
        <v>0</v>
      </c>
      <c r="H35" s="57">
        <f>IF(AND('ISO 1999'!$D$7&gt;75,'ISO 1999'!$D$7&lt;=100,'ISO 1999'!$D$7&gt;S35),(J35+K35*LOG('ISO 1999'!$D$6,10))*(('ISO 1999'!$D$7-S35)^2),0)</f>
        <v>4.2845799959615727</v>
      </c>
      <c r="I35" s="57">
        <f>IF(AND('ISO 1999'!$D$7&gt;75,'ISO 1999'!$D$7&lt;=100,'ISO 1999'!$D$7&gt;S35),(L35+M35*LOG('ISO 1999'!$D$6,10))*(('ISO 1999'!$D$7-S35)^2),0)</f>
        <v>2.9053675035336242</v>
      </c>
      <c r="J35" s="55">
        <v>1.2999999999999999E-2</v>
      </c>
      <c r="K35" s="55">
        <v>8.0000000000000002E-3</v>
      </c>
      <c r="L35" s="55">
        <v>2.8000000000000001E-2</v>
      </c>
      <c r="M35" s="55">
        <v>-7.0000000000000001E-3</v>
      </c>
      <c r="N35" s="55">
        <f t="shared" si="0"/>
        <v>9.4737399878847182</v>
      </c>
      <c r="O35" s="55">
        <f>IF(AND('ISO 1999'!$D$6&lt;10,'ISO 1999'!$D$6&gt;=1,'ISO 1999'!$D$7&gt;S35),(LOG('ISO 1999'!$D$6+1,10)/LOG(11,10)*(Q35+R35*LOG(10,10))*(('ISO 1999'!$D$7-S35)^2)),0)</f>
        <v>0</v>
      </c>
      <c r="P35" s="55">
        <f>IF(AND('ISO 1999'!$D$6&gt;=10,'ISO 1999'!$D$6&lt;=40,'ISO 1999'!$D$7&gt;S35,'ISO 1999'!$D$7&lt;=100),((Q35+R35*LOG('ISO 1999'!$D$6,10))*(('ISO 1999'!$D$7-S35)^2)),0)</f>
        <v>9.4737399878847182</v>
      </c>
      <c r="Q35" s="55">
        <v>1.9E-2</v>
      </c>
      <c r="R35" s="55">
        <v>2.4E-2</v>
      </c>
      <c r="S35" s="56">
        <v>77</v>
      </c>
    </row>
    <row r="36" spans="1:19" x14ac:dyDescent="0.25">
      <c r="A36" s="54">
        <v>8000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6"/>
    </row>
    <row r="37" spans="1:19" x14ac:dyDescent="0.2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6"/>
    </row>
    <row r="38" spans="1:19" x14ac:dyDescent="0.25">
      <c r="A38" s="54" t="s">
        <v>6</v>
      </c>
      <c r="B38" s="55" t="s">
        <v>5</v>
      </c>
      <c r="C38" s="55" t="s">
        <v>7</v>
      </c>
      <c r="D38" s="55">
        <f>SUM(D39:D57)</f>
        <v>0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6"/>
    </row>
    <row r="39" spans="1:19" x14ac:dyDescent="0.25">
      <c r="A39" s="54">
        <v>0.05</v>
      </c>
      <c r="B39" s="55">
        <v>1.645</v>
      </c>
      <c r="C39" s="55"/>
      <c r="D39" s="55">
        <f>IF('ISO 1999'!$D$8=A39,B39,0)</f>
        <v>0</v>
      </c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6"/>
    </row>
    <row r="40" spans="1:19" x14ac:dyDescent="0.25">
      <c r="A40" s="54">
        <v>0.1</v>
      </c>
      <c r="B40" s="55">
        <v>1.282</v>
      </c>
      <c r="C40" s="55"/>
      <c r="D40" s="55">
        <f>IF('ISO 1999'!$D$8=A40,B40,0)</f>
        <v>0</v>
      </c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6"/>
    </row>
    <row r="41" spans="1:19" x14ac:dyDescent="0.25">
      <c r="A41" s="54">
        <v>0.15</v>
      </c>
      <c r="B41" s="55">
        <v>1.036</v>
      </c>
      <c r="C41" s="55"/>
      <c r="D41" s="55">
        <f>IF('ISO 1999'!$D$8=A41,B41,0)</f>
        <v>0</v>
      </c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6"/>
    </row>
    <row r="42" spans="1:19" x14ac:dyDescent="0.25">
      <c r="A42" s="54">
        <v>0.2</v>
      </c>
      <c r="B42" s="55">
        <v>0.84199999999999997</v>
      </c>
      <c r="C42" s="55"/>
      <c r="D42" s="55">
        <f>IF('ISO 1999'!$D$8=A42,B42,0)</f>
        <v>0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6"/>
    </row>
    <row r="43" spans="1:19" x14ac:dyDescent="0.25">
      <c r="A43" s="54">
        <v>0.25</v>
      </c>
      <c r="B43" s="55">
        <v>0.67500000000000004</v>
      </c>
      <c r="C43" s="55"/>
      <c r="D43" s="55">
        <f>IF('ISO 1999'!$D$8=A43,B43,0)</f>
        <v>0</v>
      </c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6"/>
    </row>
    <row r="44" spans="1:19" x14ac:dyDescent="0.25">
      <c r="A44" s="54">
        <v>0.3</v>
      </c>
      <c r="B44" s="55">
        <v>0.52400000000000002</v>
      </c>
      <c r="C44" s="55"/>
      <c r="D44" s="55">
        <f>IF('ISO 1999'!$D$8=A44,B44,0)</f>
        <v>0</v>
      </c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6"/>
    </row>
    <row r="45" spans="1:19" x14ac:dyDescent="0.25">
      <c r="A45" s="54">
        <v>0.35</v>
      </c>
      <c r="B45" s="55">
        <v>0.38500000000000001</v>
      </c>
      <c r="C45" s="55"/>
      <c r="D45" s="55">
        <f>IF('ISO 1999'!$D$8=A45,B45,0)</f>
        <v>0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6"/>
    </row>
    <row r="46" spans="1:19" x14ac:dyDescent="0.25">
      <c r="A46" s="54">
        <v>0.4</v>
      </c>
      <c r="B46" s="55">
        <v>0.253</v>
      </c>
      <c r="C46" s="55"/>
      <c r="D46" s="55">
        <f>IF('ISO 1999'!$D$8=A46,B46,0)</f>
        <v>0</v>
      </c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6"/>
    </row>
    <row r="47" spans="1:19" x14ac:dyDescent="0.25">
      <c r="A47" s="54">
        <v>0.45</v>
      </c>
      <c r="B47" s="55">
        <v>0.126</v>
      </c>
      <c r="C47" s="55"/>
      <c r="D47" s="55">
        <f>IF('ISO 1999'!$D$8=A47,B47,0)</f>
        <v>0</v>
      </c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6"/>
    </row>
    <row r="48" spans="1:19" x14ac:dyDescent="0.25">
      <c r="A48" s="54">
        <v>0.5</v>
      </c>
      <c r="B48" s="55">
        <v>0</v>
      </c>
      <c r="C48" s="55"/>
      <c r="D48" s="55">
        <f>IF('ISO 1999'!$D$8=A48,B48,0)</f>
        <v>0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6"/>
    </row>
    <row r="49" spans="1:19" x14ac:dyDescent="0.25">
      <c r="A49" s="54">
        <v>0.55000000000000004</v>
      </c>
      <c r="B49" s="55">
        <v>0.126</v>
      </c>
      <c r="C49" s="55"/>
      <c r="D49" s="55">
        <f>IF('ISO 1999'!$D$8=A49,B49,0)</f>
        <v>0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6"/>
    </row>
    <row r="50" spans="1:19" x14ac:dyDescent="0.25">
      <c r="A50" s="54">
        <v>0.6</v>
      </c>
      <c r="B50" s="55">
        <v>0.253</v>
      </c>
      <c r="C50" s="55"/>
      <c r="D50" s="55">
        <f>IF('ISO 1999'!$D$8=A50,B50,0)</f>
        <v>0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6"/>
    </row>
    <row r="51" spans="1:19" x14ac:dyDescent="0.25">
      <c r="A51" s="54">
        <v>0.65</v>
      </c>
      <c r="B51" s="55">
        <v>0.38500000000000001</v>
      </c>
      <c r="C51" s="55"/>
      <c r="D51" s="55">
        <f>IF('ISO 1999'!$D$8=A51,B51,0)</f>
        <v>0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6"/>
    </row>
    <row r="52" spans="1:19" x14ac:dyDescent="0.25">
      <c r="A52" s="54">
        <v>0.7</v>
      </c>
      <c r="B52" s="55">
        <v>0.52400000000000002</v>
      </c>
      <c r="C52" s="55"/>
      <c r="D52" s="55">
        <f>IF('ISO 1999'!$D$8=A52,B52,0)</f>
        <v>0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6"/>
    </row>
    <row r="53" spans="1:19" x14ac:dyDescent="0.25">
      <c r="A53" s="54">
        <v>0.75</v>
      </c>
      <c r="B53" s="55">
        <v>0.67500000000000004</v>
      </c>
      <c r="C53" s="55"/>
      <c r="D53" s="55">
        <f>IF('ISO 1999'!$D$8=A53,B53,0)</f>
        <v>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6"/>
    </row>
    <row r="54" spans="1:19" x14ac:dyDescent="0.25">
      <c r="A54" s="54">
        <v>0.8</v>
      </c>
      <c r="B54" s="55">
        <v>0.84199999999999997</v>
      </c>
      <c r="C54" s="55"/>
      <c r="D54" s="55">
        <f>IF('ISO 1999'!$D$8=A54,B54,0)</f>
        <v>0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6"/>
    </row>
    <row r="55" spans="1:19" x14ac:dyDescent="0.25">
      <c r="A55" s="54">
        <v>0.85</v>
      </c>
      <c r="B55" s="55">
        <v>1.036</v>
      </c>
      <c r="C55" s="55"/>
      <c r="D55" s="55">
        <f>IF('ISO 1999'!$D$8=A55,B55,0)</f>
        <v>0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6"/>
    </row>
    <row r="56" spans="1:19" x14ac:dyDescent="0.25">
      <c r="A56" s="54">
        <v>0.9</v>
      </c>
      <c r="B56" s="55">
        <v>1.282</v>
      </c>
      <c r="C56" s="55"/>
      <c r="D56" s="55">
        <f>IF('ISO 1999'!$D$8=A56,B56,0)</f>
        <v>0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6"/>
    </row>
    <row r="57" spans="1:19" ht="13.8" thickBot="1" x14ac:dyDescent="0.3">
      <c r="A57" s="58">
        <v>0.95</v>
      </c>
      <c r="B57" s="59">
        <v>1.645</v>
      </c>
      <c r="C57" s="59"/>
      <c r="D57" s="59">
        <f>IF('ISO 1999'!$D$8=A57,B57,0)</f>
        <v>0</v>
      </c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60"/>
    </row>
    <row r="58" spans="1:19" ht="13.8" thickTop="1" x14ac:dyDescent="0.25"/>
  </sheetData>
  <sheetProtection algorithmName="SHA-512" hashValue="XmUL/AlAsUwOELFb8LpOJ3TSLTxoYhVGdovyOXC8S6+p7zzwT3HRF4dqhHn5SQ2Hu9nf5O/+P0P00V8S9xVHJg==" saltValue="tVBVaD3nVjZ+7StNKh8U8w==" spinCount="100000" sheet="1" selectLockedCells="1" selectUnlockedCells="1"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ISO 1999</vt:lpstr>
      <vt:lpstr>Erläuterungen zur ISO 1999</vt:lpstr>
      <vt:lpstr>ISO 7029_2017</vt:lpstr>
      <vt:lpstr>N (durch Lärm)</vt:lpstr>
      <vt:lpstr>'Erläuterungen zur ISO 1999'!Druckbereich</vt:lpstr>
      <vt:lpstr>'ISO 1999'!Druckbereich</vt:lpstr>
      <vt:lpstr>Fraktil</vt:lpstr>
      <vt:lpstr>MW</vt:lpstr>
    </vt:vector>
  </TitlesOfParts>
  <Company>HVBG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liedtke.martin</dc:creator>
  <cp:lastModifiedBy>Liedtke, Martin</cp:lastModifiedBy>
  <cp:lastPrinted>2026-09-08T15:18:46Z</cp:lastPrinted>
  <dcterms:created xsi:type="dcterms:W3CDTF">2006-02-01T15:45:19Z</dcterms:created>
  <dcterms:modified xsi:type="dcterms:W3CDTF">2026-09-08T15:20:48Z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45839c-a198-4d87-a0d2-c07b8aa32614_Enabled">
    <vt:lpwstr>true</vt:lpwstr>
  </property>
  <property fmtid="{D5CDD505-2E9C-101B-9397-08002B2CF9AE}" pid="3" name="MSIP_Label_7545839c-a198-4d87-a0d2-c07b8aa32614_SetDate">
    <vt:lpwstr>2026-09-04T14:56:51Z</vt:lpwstr>
  </property>
  <property fmtid="{D5CDD505-2E9C-101B-9397-08002B2CF9AE}" pid="4" name="MSIP_Label_7545839c-a198-4d87-a0d2-c07b8aa32614_Method">
    <vt:lpwstr>Standard</vt:lpwstr>
  </property>
  <property fmtid="{D5CDD505-2E9C-101B-9397-08002B2CF9AE}" pid="5" name="MSIP_Label_7545839c-a198-4d87-a0d2-c07b8aa32614_Name">
    <vt:lpwstr>Öffentlich</vt:lpwstr>
  </property>
  <property fmtid="{D5CDD505-2E9C-101B-9397-08002B2CF9AE}" pid="6" name="MSIP_Label_7545839c-a198-4d87-a0d2-c07b8aa32614_SiteId">
    <vt:lpwstr>f3987bed-0f17-4307-a6bb-a2ae861736b7</vt:lpwstr>
  </property>
  <property fmtid="{D5CDD505-2E9C-101B-9397-08002B2CF9AE}" pid="7" name="MSIP_Label_7545839c-a198-4d87-a0d2-c07b8aa32614_ActionId">
    <vt:lpwstr>a46525ab-cb16-45a2-9178-bad41f74cb7e</vt:lpwstr>
  </property>
  <property fmtid="{D5CDD505-2E9C-101B-9397-08002B2CF9AE}" pid="8" name="MSIP_Label_7545839c-a198-4d87-a0d2-c07b8aa32614_ContentBits">
    <vt:lpwstr>0</vt:lpwstr>
  </property>
  <property fmtid="{D5CDD505-2E9C-101B-9397-08002B2CF9AE}" pid="9" name="MSIP_Label_7545839c-a198-4d87-a0d2-c07b8aa32614_Tag">
    <vt:lpwstr>10, 3, 0, 1</vt:lpwstr>
  </property>
</Properties>
</file>