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ieseArbeitsmappe"/>
  <mc:AlternateContent xmlns:mc="http://schemas.openxmlformats.org/markup-compatibility/2006">
    <mc:Choice Requires="x15">
      <x15ac:absPath xmlns:x15ac="http://schemas.microsoft.com/office/spreadsheetml/2010/11/ac" url="J:\User\Mehlem\300 FB ETEM\DGUV Information 203-077_BGI 5188\0 Überarbeitung\Excel Sheet\"/>
    </mc:Choice>
  </mc:AlternateContent>
  <xr:revisionPtr revIDLastSave="0" documentId="8_{6EEF6697-378F-450F-A33E-EB4B0BDCE39E}" xr6:coauthVersionLast="47" xr6:coauthVersionMax="47" xr10:uidLastSave="{00000000-0000-0000-0000-000000000000}"/>
  <workbookProtection workbookAlgorithmName="SHA-512" workbookHashValue="e2yN5Uj0euHz2UkJoRQStvjJZC78pHU0UllCUz58pOfdBBDeJQC1ZX7UmRQ35eIpmfqjA9Sk0/NpTSKhZtsC9A==" workbookSaltValue="t++oRKFrrvFFxrL14+zbeg==" workbookSpinCount="100000" lockStructure="1"/>
  <bookViews>
    <workbookView xWindow="3120" yWindow="3120" windowWidth="21600" windowHeight="12525" tabRatio="750" xr2:uid="{00000000-000D-0000-FFFF-FFFF00000000}"/>
  </bookViews>
  <sheets>
    <sheet name="User MS-AC" sheetId="15" r:id="rId1"/>
    <sheet name="Berechnung MS-AC" sheetId="16" r:id="rId2"/>
    <sheet name="Risikobewertung MS-AC" sheetId="13" r:id="rId3"/>
    <sheet name="Ausdruck MS-AC" sheetId="17" r:id="rId4"/>
    <sheet name="Rechnung_ausgeblendet für User" sheetId="21" state="hidden" r:id="rId5"/>
    <sheet name="a)" sheetId="4" r:id="rId6"/>
    <sheet name="b)" sheetId="5" r:id="rId7"/>
    <sheet name="c)" sheetId="6" r:id="rId8"/>
    <sheet name="d)" sheetId="7" r:id="rId9"/>
    <sheet name="e)" sheetId="8" r:id="rId10"/>
    <sheet name="f)" sheetId="9" r:id="rId11"/>
  </sheets>
  <definedNames>
    <definedName name="_xlnm.Print_Area" localSheetId="3">'Ausdruck MS-AC'!$A$1:$F$38</definedName>
    <definedName name="_xlnm.Print_Area" localSheetId="2">'Risikobewertung MS-AC'!$B$1:$P$29</definedName>
    <definedName name="_xlnm.Print_Area" localSheetId="0">'User MS-AC'!$A$1:$L$42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6" i="21" l="1"/>
  <c r="H20" i="13" l="1"/>
  <c r="H21" i="15" l="1"/>
  <c r="B5" i="21"/>
  <c r="B18" i="21" s="1"/>
  <c r="D39" i="21"/>
  <c r="D28" i="21"/>
  <c r="D29" i="21" s="1"/>
  <c r="D40" i="21" l="1"/>
  <c r="B13" i="21"/>
  <c r="D42" i="21"/>
  <c r="C10" i="17"/>
  <c r="B1" i="16"/>
  <c r="D30" i="21"/>
  <c r="D31" i="21"/>
  <c r="D41" i="21"/>
  <c r="D44" i="21" l="1"/>
  <c r="B9" i="21" s="1"/>
  <c r="D33" i="21"/>
  <c r="D48" i="21" l="1"/>
  <c r="D47" i="21"/>
  <c r="D37" i="21"/>
  <c r="D36" i="21"/>
  <c r="D35" i="21"/>
  <c r="A6" i="17"/>
  <c r="A3" i="17"/>
  <c r="B3" i="21" l="1"/>
  <c r="E2" i="16" s="1"/>
  <c r="B19" i="21"/>
  <c r="F5" i="13"/>
  <c r="D5" i="13"/>
  <c r="I4" i="13"/>
  <c r="D4" i="13"/>
  <c r="B20" i="21" l="1"/>
  <c r="B4" i="21"/>
  <c r="B14" i="21" s="1"/>
  <c r="A38" i="17"/>
  <c r="A35" i="17"/>
  <c r="F23" i="17"/>
  <c r="F22" i="17"/>
  <c r="E6" i="17"/>
  <c r="D6" i="17"/>
  <c r="B6" i="17"/>
  <c r="B5" i="17"/>
  <c r="B4" i="17"/>
  <c r="E3" i="17"/>
  <c r="D3" i="17"/>
  <c r="B3" i="17"/>
  <c r="E15" i="16"/>
  <c r="F21" i="17" s="1"/>
  <c r="E14" i="16"/>
  <c r="F24" i="17" s="1"/>
  <c r="E7" i="16"/>
  <c r="F16" i="17" s="1"/>
  <c r="F14" i="17"/>
  <c r="E4" i="16"/>
  <c r="F13" i="17" s="1"/>
  <c r="E3" i="16"/>
  <c r="F12" i="17" s="1"/>
  <c r="B21" i="21" l="1"/>
  <c r="E9" i="16" s="1"/>
  <c r="F18" i="17" s="1"/>
  <c r="E8" i="16"/>
  <c r="E17" i="16"/>
  <c r="E6" i="16"/>
  <c r="F15" i="17" s="1"/>
  <c r="E16" i="16"/>
  <c r="F11" i="17"/>
  <c r="F17" i="17" l="1"/>
  <c r="B8" i="21"/>
  <c r="B15" i="21" s="1"/>
  <c r="E25" i="16"/>
  <c r="E10" i="16"/>
  <c r="F19" i="17" s="1"/>
  <c r="E19" i="16"/>
  <c r="F26" i="17"/>
  <c r="E23" i="16"/>
  <c r="E11" i="16"/>
  <c r="A31" i="16" s="1"/>
  <c r="H15" i="15" s="1"/>
  <c r="E21" i="16"/>
  <c r="F25" i="17"/>
  <c r="K18" i="13"/>
  <c r="K16" i="13"/>
  <c r="K14" i="13"/>
  <c r="K12" i="13"/>
  <c r="K10" i="13"/>
  <c r="B22" i="21" l="1"/>
  <c r="B10" i="21"/>
  <c r="A33" i="16"/>
  <c r="C37" i="15" s="1"/>
  <c r="C35" i="15"/>
  <c r="C31" i="17" s="1"/>
  <c r="A35" i="16"/>
  <c r="C39" i="15" s="1"/>
  <c r="C31" i="16"/>
  <c r="J35" i="15" s="1"/>
  <c r="A37" i="16"/>
  <c r="C41" i="15" s="1"/>
  <c r="E29" i="16"/>
  <c r="E27" i="16"/>
  <c r="F20" i="17"/>
  <c r="F29" i="17" s="1"/>
  <c r="E27" i="13" l="1"/>
  <c r="C28" i="13"/>
  <c r="G27" i="13"/>
  <c r="I25" i="13"/>
  <c r="F27" i="13"/>
  <c r="E24" i="13"/>
  <c r="H24" i="13"/>
  <c r="G24" i="13"/>
  <c r="H25" i="13"/>
  <c r="G25" i="13"/>
  <c r="I26" i="13"/>
  <c r="E25" i="13"/>
  <c r="I24" i="13"/>
  <c r="F26" i="13"/>
  <c r="E26" i="13"/>
  <c r="F25" i="13"/>
  <c r="H26" i="13"/>
  <c r="G26" i="13"/>
  <c r="I27" i="13"/>
  <c r="H27" i="13"/>
  <c r="F24" i="13"/>
  <c r="C29" i="13"/>
  <c r="F28" i="17"/>
  <c r="K23" i="13" l="1"/>
  <c r="C32" i="17" s="1"/>
  <c r="B4" i="9" l="1"/>
  <c r="B4" i="8"/>
  <c r="B4" i="7"/>
  <c r="B4" i="6"/>
  <c r="B4" i="5"/>
  <c r="B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Schwarzmeier, Martin</author>
  </authors>
  <commentList>
    <comment ref="C28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=1 (Kleinräumige Anlagen)
=1,5....1,9 (Großräumige Anlagen)
=2,4 (Offene Anlagen)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r998816</author>
  </authors>
  <commentList>
    <comment ref="D14" authorId="0" shapeId="0" xr:uid="{00000000-0006-0000-0100-000002000000}">
      <text>
        <r>
          <rPr>
            <b/>
            <sz val="8"/>
            <color indexed="81"/>
            <rFont val="Tahoma"/>
            <family val="2"/>
          </rPr>
          <t>KT = 1 (Kleinräumige Anlagen)
      =1,5....1,9 (Großräumige Anlagen)
      =2,4 (Offene Anlagen)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Sebastian Glaser</author>
  </authors>
  <commentList>
    <comment ref="B25" authorId="0" shapeId="0" xr:uid="{35B0F88D-46E9-40D5-8C7E-85CE5B803A86}">
      <text>
        <r>
          <rPr>
            <b/>
            <sz val="9"/>
            <color indexed="81"/>
            <rFont val="Segoe UI"/>
            <family val="2"/>
          </rPr>
          <t>Sebastian Glaser:</t>
        </r>
        <r>
          <rPr>
            <sz val="9"/>
            <color indexed="81"/>
            <rFont val="Segoe UI"/>
            <family val="2"/>
          </rPr>
          <t xml:space="preserve">
Gibt es solche Systeme im MS-Bereich?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Sebastian Glaser</author>
  </authors>
  <commentList>
    <comment ref="B18" authorId="0" shapeId="0" xr:uid="{3A54A3FA-D8C5-4271-8B4A-F81F52A8894B}">
      <text>
        <r>
          <rPr>
            <b/>
            <sz val="9"/>
            <color indexed="81"/>
            <rFont val="Segoe UI"/>
            <family val="2"/>
          </rPr>
          <t>Sebastian Glaser:</t>
        </r>
        <r>
          <rPr>
            <sz val="9"/>
            <color indexed="81"/>
            <rFont val="Segoe UI"/>
            <family val="2"/>
          </rPr>
          <t xml:space="preserve">
Gibt es solche Systeme im MS-Bereich?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Sebastian Glaser</author>
  </authors>
  <commentList>
    <comment ref="B35" authorId="0" shapeId="0" xr:uid="{325C53FB-DC96-48D4-9BD9-FBCEB2BEB4AE}">
      <text>
        <r>
          <rPr>
            <b/>
            <sz val="9"/>
            <color indexed="81"/>
            <rFont val="Segoe UI"/>
            <family val="2"/>
          </rPr>
          <t>Sebastian Glaser:</t>
        </r>
        <r>
          <rPr>
            <sz val="9"/>
            <color indexed="81"/>
            <rFont val="Segoe UI"/>
            <family val="2"/>
          </rPr>
          <t xml:space="preserve">
Überführbar auf MS-bereich?
</t>
        </r>
      </text>
    </comment>
    <comment ref="B42" authorId="0" shapeId="0" xr:uid="{23754580-8476-4F50-82D2-3D50AEB7F8D8}">
      <text>
        <r>
          <rPr>
            <b/>
            <sz val="9"/>
            <color indexed="81"/>
            <rFont val="Segoe UI"/>
            <family val="2"/>
          </rPr>
          <t>Sebastian Glaser:</t>
        </r>
        <r>
          <rPr>
            <sz val="9"/>
            <color indexed="81"/>
            <rFont val="Segoe UI"/>
            <family val="2"/>
          </rPr>
          <t xml:space="preserve">
Findet so etwas im MS-Bereich statt?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Sebastian Glaser</author>
  </authors>
  <commentList>
    <comment ref="B26" authorId="0" shapeId="0" xr:uid="{A1B4F0E7-76F0-4C43-860F-69FE79D2DFA3}">
      <text>
        <r>
          <rPr>
            <b/>
            <sz val="9"/>
            <color indexed="81"/>
            <rFont val="Segoe UI"/>
            <family val="2"/>
          </rPr>
          <t>Sebastian Glaser:</t>
        </r>
        <r>
          <rPr>
            <sz val="9"/>
            <color indexed="81"/>
            <rFont val="Segoe UI"/>
            <family val="2"/>
          </rPr>
          <t xml:space="preserve">
auch im MS-Bereich?
</t>
        </r>
      </text>
    </comment>
  </commentList>
</comments>
</file>

<file path=xl/sharedStrings.xml><?xml version="1.0" encoding="utf-8"?>
<sst xmlns="http://schemas.openxmlformats.org/spreadsheetml/2006/main" count="356" uniqueCount="276">
  <si>
    <t>Erläuterung:</t>
  </si>
  <si>
    <t>a)  Art/Zustand der Anlage</t>
  </si>
  <si>
    <t>Verantwortlichkeiten</t>
  </si>
  <si>
    <t>Schutzmaßnahmen gegen SLB</t>
  </si>
  <si>
    <t>Unterweisung/Schulung</t>
  </si>
  <si>
    <t>Überprüfung der Wirksamkeit</t>
  </si>
  <si>
    <t>Anlagendokumentation</t>
  </si>
  <si>
    <t>Zutrittsregelung zu elektrischen Anlagen</t>
  </si>
  <si>
    <t>Einweisung in elektrische Anlagen</t>
  </si>
  <si>
    <t>Pflege, Wartung und Reparatur</t>
  </si>
  <si>
    <t>Überprüfung der Anwendung/Qualitätssicherung</t>
  </si>
  <si>
    <t>Tätigkeitsspezifische/anlagenspezifische Kenntnisse</t>
  </si>
  <si>
    <t>Arbeitsweise und Erfahrung</t>
  </si>
  <si>
    <t>Unterweisungen</t>
  </si>
  <si>
    <t>Spezielle Befähigungen (z. B. Schaltbefähigung, AuS)</t>
  </si>
  <si>
    <t xml:space="preserve">Erhalt der Qualifikation </t>
  </si>
  <si>
    <t>Überprüfung der Qualifikation</t>
  </si>
  <si>
    <t>Tragekomfort (z. B. Passform, Hygiene, Taktilität)</t>
  </si>
  <si>
    <t>Trageakzeptanz</t>
  </si>
  <si>
    <t>Psychische Belastung (z. B. Zeitdruck)</t>
  </si>
  <si>
    <t>Leichte Verletzung</t>
  </si>
  <si>
    <t>Reversible Verletzung</t>
  </si>
  <si>
    <t>Irreversible Verletzung</t>
  </si>
  <si>
    <t>Tödliche Verletzung</t>
  </si>
  <si>
    <t>selten</t>
  </si>
  <si>
    <t>Praktisch unmöglich</t>
  </si>
  <si>
    <t>unwahr-scheinlich</t>
  </si>
  <si>
    <t>.. Praktisch unmöglich</t>
  </si>
  <si>
    <t>.. Denkbar, aber sehr unwahrscheinlich</t>
  </si>
  <si>
    <t>.. Unwahrscheinlich</t>
  </si>
  <si>
    <t>.. Selten</t>
  </si>
  <si>
    <t>.. Gelegentlich bis häufig</t>
  </si>
  <si>
    <t>Transmissionsfaktor</t>
  </si>
  <si>
    <t>Lichtbogenenergie (Erwartung)</t>
  </si>
  <si>
    <t>Eintrittswahrscheinlichkeit einer Verletzung durch Störlichtbogen</t>
  </si>
  <si>
    <t>Beurteilungsschema</t>
  </si>
  <si>
    <t>Arbeitsauftrag:</t>
  </si>
  <si>
    <t>Bearbeiter:</t>
  </si>
  <si>
    <t>Arbeitsort:</t>
  </si>
  <si>
    <t>Datum:</t>
  </si>
  <si>
    <t>Netzspannung:</t>
  </si>
  <si>
    <t>V</t>
  </si>
  <si>
    <t>Max. Kurzschlußstrom:</t>
  </si>
  <si>
    <t>kA</t>
  </si>
  <si>
    <t>Min. Kurzschlußstrom:</t>
  </si>
  <si>
    <t>Leiterabstand:</t>
  </si>
  <si>
    <t>mm</t>
  </si>
  <si>
    <t>Begründung:</t>
  </si>
  <si>
    <t>keine</t>
  </si>
  <si>
    <t>Schutzorgan:</t>
  </si>
  <si>
    <t>Abschaltzeit der</t>
  </si>
  <si>
    <t>Hinweis:</t>
  </si>
  <si>
    <t>Einstellwert des Leistungsschalter / Abschaltzeit aus der Sicherungskennlinie</t>
  </si>
  <si>
    <t>s</t>
  </si>
  <si>
    <t>Abstand der Person zum</t>
  </si>
  <si>
    <t>Lichtbogenentstehungsort a:</t>
  </si>
  <si>
    <t>Rechnung</t>
  </si>
  <si>
    <t>Kenngröße</t>
  </si>
  <si>
    <t>Resultat</t>
  </si>
  <si>
    <t>Netzparameter</t>
  </si>
  <si>
    <t>Netzspannung</t>
  </si>
  <si>
    <t>Berechnung</t>
  </si>
  <si>
    <t>max. Kurzschlussstrom</t>
  </si>
  <si>
    <t>min. Kurzschlussstrom</t>
  </si>
  <si>
    <t>Minimaler Fehlerstrom</t>
  </si>
  <si>
    <t>Kurzschlußleistung</t>
  </si>
  <si>
    <t>Lichtbogenleistung</t>
  </si>
  <si>
    <t>Schutzpegel der Kleidung am Lichtbogenort (Hochrechnung der Boxtestparameter auf den Lichtbogenort)</t>
  </si>
  <si>
    <t>Anlagenparameter</t>
  </si>
  <si>
    <t>Arbeitsverfahren</t>
  </si>
  <si>
    <t>Abstand Person zu Lichtbogenentstehungsort</t>
  </si>
  <si>
    <t>a</t>
  </si>
  <si>
    <t>Hochrechnung max. Abschaltzeit für Klasse 2</t>
  </si>
  <si>
    <t>Hochrechnung max. Abschaltzeit für Klasse 1</t>
  </si>
  <si>
    <t>Hochrechnung min. Abstand für Klasse 2</t>
  </si>
  <si>
    <t>Hochrechnung min. Abstand für Klasse 1</t>
  </si>
  <si>
    <t>b)  Technische Maßnahmen</t>
  </si>
  <si>
    <t>c)  Organisatorische Maßnahmen</t>
  </si>
  <si>
    <t>d)  Persönliche Maßnahmen</t>
  </si>
  <si>
    <t>e)  Statistische Einflussfaktoren</t>
  </si>
  <si>
    <t>f)   Ergonomische Einflussfaktoren</t>
  </si>
  <si>
    <t>Art/Zustand der Anlage hinsichtlich überbrückungsfähiger Potenziale (Lichtbogenentstehung) oder der Begrenzung von Lichtbogenauswirkung</t>
  </si>
  <si>
    <t>Organisatorische Maßnahmen zur Vermeidung von Potenzialüberbrückungen (Lichtbogenentstehung) oder zur Begrenzung von Lichtbogenauswirkungen</t>
  </si>
  <si>
    <t>Persönliche Maßnahmen zur Vermeidung von Potenzialüberbrückungen (Lichtbogenentstehung) oder zur Begrenzung von Lichtbogenauswirkungen</t>
  </si>
  <si>
    <t>Statistische Einflussfaktoren, die bei der Bewertung der Eintrittswahr-scheinlichkeit eines Lichtbogens oder einer Verletzung durch Lichtbogen eine Rolle spielen</t>
  </si>
  <si>
    <t>Ergonomische Einflussfaktoren, die bei der Bewertung der Eintrittswahrscheinlichkeit eines Lichtbogens oder einer Verletzung durch Lichtbogen eine Rolle spielen</t>
  </si>
  <si>
    <r>
      <t xml:space="preserve">a) </t>
    </r>
    <r>
      <rPr>
        <b/>
        <u/>
        <sz val="11"/>
        <color theme="1"/>
        <rFont val="Calibri"/>
        <family val="2"/>
        <scheme val="minor"/>
      </rPr>
      <t>Art und Zustand der Anlage:</t>
    </r>
  </si>
  <si>
    <r>
      <t xml:space="preserve">c) </t>
    </r>
    <r>
      <rPr>
        <b/>
        <u/>
        <sz val="11"/>
        <color theme="1"/>
        <rFont val="Calibri"/>
        <family val="2"/>
        <scheme val="minor"/>
      </rPr>
      <t>organisatorische Maßnahmen:</t>
    </r>
  </si>
  <si>
    <r>
      <t>d)</t>
    </r>
    <r>
      <rPr>
        <b/>
        <sz val="7"/>
        <color theme="1"/>
        <rFont val="Times New Roman"/>
        <family val="1"/>
      </rPr>
      <t xml:space="preserve"> </t>
    </r>
    <r>
      <rPr>
        <b/>
        <u/>
        <sz val="11"/>
        <color theme="1"/>
        <rFont val="Calibri"/>
        <family val="2"/>
        <scheme val="minor"/>
      </rPr>
      <t>persönliche Maßnahmen:</t>
    </r>
  </si>
  <si>
    <r>
      <t>e)</t>
    </r>
    <r>
      <rPr>
        <b/>
        <sz val="7"/>
        <rFont val="Times New Roman"/>
        <family val="1"/>
      </rPr>
      <t xml:space="preserve"> </t>
    </r>
    <r>
      <rPr>
        <b/>
        <sz val="11"/>
        <rFont val="Calibri"/>
        <family val="2"/>
        <scheme val="minor"/>
      </rPr>
      <t>Statistische Einflussfaktoren:</t>
    </r>
  </si>
  <si>
    <r>
      <t>f)</t>
    </r>
    <r>
      <rPr>
        <b/>
        <sz val="7"/>
        <rFont val="Times New Roman"/>
        <family val="1"/>
      </rPr>
      <t xml:space="preserve"> </t>
    </r>
    <r>
      <rPr>
        <b/>
        <sz val="11"/>
        <rFont val="Calibri"/>
        <family val="2"/>
        <scheme val="minor"/>
      </rPr>
      <t>Ergonomische Einflussfaktoren:</t>
    </r>
  </si>
  <si>
    <t>Technische Maßnahmen zur Vermeidung von Potenzialüberbrückungen (Lichtbogenentstehung) oder zur Begrenzung von Lichtbogenauswirkungen</t>
  </si>
  <si>
    <t>Summe Bewertungspunkte:</t>
  </si>
  <si>
    <t>Art/Zustand der Anlage hinsichtlich überbrückungsfähiger Potenziale (Lichtbogenentstehung) oder der Begrenzung von Störlichtbogenauswirkung, z. B.</t>
  </si>
  <si>
    <r>
      <t>·</t>
    </r>
    <r>
      <rPr>
        <sz val="7"/>
        <rFont val="Times New Roman"/>
        <family val="1"/>
      </rPr>
      <t xml:space="preserve">        </t>
    </r>
    <r>
      <rPr>
        <sz val="11"/>
        <rFont val="Calibri"/>
        <family val="2"/>
        <scheme val="minor"/>
      </rPr>
      <t>Offene, überbrückbare Potenziale (Potenzialabstände, Überbrückbarkeit, z. B. durch Werkzeuge/Hilfmittel oder ggf. herabfallende leitfähige Teile)</t>
    </r>
  </si>
  <si>
    <r>
      <t>·</t>
    </r>
    <r>
      <rPr>
        <sz val="7"/>
        <rFont val="Times New Roman"/>
        <family val="1"/>
      </rPr>
      <t xml:space="preserve">        </t>
    </r>
    <r>
      <rPr>
        <sz val="11"/>
        <rFont val="Calibri"/>
        <family val="2"/>
        <scheme val="minor"/>
      </rPr>
      <t>Verschmutzung, Feuchtigkeit, Bewuchs</t>
    </r>
  </si>
  <si>
    <r>
      <t>·</t>
    </r>
    <r>
      <rPr>
        <sz val="7"/>
        <rFont val="Times New Roman"/>
        <family val="1"/>
      </rPr>
      <t xml:space="preserve">        </t>
    </r>
    <r>
      <rPr>
        <sz val="11"/>
        <rFont val="Calibri"/>
        <family val="2"/>
        <scheme val="minor"/>
      </rPr>
      <t>Wartung und Prüfung</t>
    </r>
  </si>
  <si>
    <r>
      <t>·</t>
    </r>
    <r>
      <rPr>
        <sz val="7"/>
        <rFont val="Times New Roman"/>
        <family val="1"/>
      </rPr>
      <t xml:space="preserve">        </t>
    </r>
    <r>
      <rPr>
        <sz val="11"/>
        <rFont val="Calibri"/>
        <family val="2"/>
        <scheme val="minor"/>
      </rPr>
      <t>Alter der Anlage</t>
    </r>
  </si>
  <si>
    <r>
      <t>·</t>
    </r>
    <r>
      <rPr>
        <sz val="7"/>
        <rFont val="Times New Roman"/>
        <family val="1"/>
      </rPr>
      <t xml:space="preserve">        </t>
    </r>
    <r>
      <rPr>
        <sz val="11"/>
        <rFont val="Calibri"/>
        <family val="2"/>
        <scheme val="minor"/>
      </rPr>
      <t>Besondere Umgebungsbedingung (z. B. klimatische Bedingungen)</t>
    </r>
  </si>
  <si>
    <r>
      <t>·</t>
    </r>
    <r>
      <rPr>
        <sz val="7"/>
        <rFont val="Times New Roman"/>
        <family val="1"/>
      </rPr>
      <t xml:space="preserve">        </t>
    </r>
    <r>
      <rPr>
        <sz val="11"/>
        <rFont val="Calibri"/>
        <family val="2"/>
        <scheme val="minor"/>
      </rPr>
      <t xml:space="preserve">Schottung zu Nachbarfeldern </t>
    </r>
  </si>
  <si>
    <r>
      <t>·</t>
    </r>
    <r>
      <rPr>
        <sz val="7"/>
        <rFont val="Times New Roman"/>
        <family val="1"/>
      </rPr>
      <t xml:space="preserve">        </t>
    </r>
    <r>
      <rPr>
        <sz val="11"/>
        <rFont val="Calibri"/>
        <family val="2"/>
        <scheme val="minor"/>
      </rPr>
      <t>Anlage mit geschlossenen Türen</t>
    </r>
  </si>
  <si>
    <r>
      <t>·</t>
    </r>
    <r>
      <rPr>
        <sz val="7"/>
        <rFont val="Times New Roman"/>
        <family val="1"/>
      </rPr>
      <t xml:space="preserve">        </t>
    </r>
    <r>
      <rPr>
        <sz val="11"/>
        <rFont val="Calibri"/>
        <family val="2"/>
        <scheme val="minor"/>
      </rPr>
      <t>MS-Anlagen gemäß VDE 0671-200 (Störlichtbogengeprüfte Anlagen)</t>
    </r>
  </si>
  <si>
    <t>Technische Maßnahmen zur Vermeidung von Potenzialüberbrückungen (Lichtbogenentstehung) oder zur Begrenzung von Störlichtbogenauswirkungen, z. B.</t>
  </si>
  <si>
    <r>
      <t>·</t>
    </r>
    <r>
      <rPr>
        <sz val="7"/>
        <rFont val="Times New Roman"/>
        <family val="1"/>
      </rPr>
      <t xml:space="preserve">        </t>
    </r>
    <r>
      <rPr>
        <sz val="11"/>
        <rFont val="Calibri"/>
        <family val="2"/>
        <scheme val="minor"/>
      </rPr>
      <t>Einsatz Werkzeugen und Ausrüstungen (hinsichtlich Überbrückungssicherheit, Abstand)</t>
    </r>
  </si>
  <si>
    <r>
      <t>·</t>
    </r>
    <r>
      <rPr>
        <sz val="7"/>
        <rFont val="Times New Roman"/>
        <family val="1"/>
      </rPr>
      <t xml:space="preserve">        </t>
    </r>
    <r>
      <rPr>
        <sz val="11"/>
        <rFont val="Calibri"/>
        <family val="2"/>
        <scheme val="minor"/>
      </rPr>
      <t xml:space="preserve">Einsatz Schutz- und Hilfsmittel </t>
    </r>
  </si>
  <si>
    <r>
      <t>·</t>
    </r>
    <r>
      <rPr>
        <sz val="7"/>
        <rFont val="Times New Roman"/>
        <family val="1"/>
      </rPr>
      <t xml:space="preserve">        </t>
    </r>
    <r>
      <rPr>
        <sz val="11"/>
        <rFont val="Calibri"/>
        <family val="2"/>
        <scheme val="minor"/>
      </rPr>
      <t>Zustand der Arbeitsmittel</t>
    </r>
  </si>
  <si>
    <r>
      <t>·</t>
    </r>
    <r>
      <rPr>
        <sz val="7"/>
        <rFont val="Times New Roman"/>
        <family val="1"/>
      </rPr>
      <t xml:space="preserve">        </t>
    </r>
    <r>
      <rPr>
        <sz val="11"/>
        <rFont val="Calibri"/>
        <family val="2"/>
        <scheme val="minor"/>
      </rPr>
      <t>Einsatz Messgeräte (z. B. passende Messkategorie)</t>
    </r>
  </si>
  <si>
    <r>
      <t>·</t>
    </r>
    <r>
      <rPr>
        <sz val="7"/>
        <rFont val="Times New Roman"/>
        <family val="1"/>
      </rPr>
      <t xml:space="preserve">        </t>
    </r>
    <r>
      <rPr>
        <sz val="11"/>
        <rFont val="Calibri"/>
        <family val="2"/>
        <scheme val="minor"/>
      </rPr>
      <t>Anpassung von Schutzorganen (z. B. flinke Sicherung, Anpassung Schutzparameter, Strombegrenzung)</t>
    </r>
  </si>
  <si>
    <t>Organisatorische Maßnahmen zur Vermeidung von Potenzialüberbrückungen (Lichtbogenentstehung) oder zur Begrenzung von Störlichtbogenauswirkungen, z. B.</t>
  </si>
  <si>
    <r>
      <t>·</t>
    </r>
    <r>
      <rPr>
        <sz val="7"/>
        <rFont val="Times New Roman"/>
        <family val="1"/>
      </rPr>
      <t xml:space="preserve">        </t>
    </r>
    <r>
      <rPr>
        <sz val="11"/>
        <rFont val="Calibri"/>
        <family val="2"/>
        <scheme val="minor"/>
      </rPr>
      <t>Organisatorische Regelungen (z. B. Betriebs-/ Arbeitsanweisungen)</t>
    </r>
  </si>
  <si>
    <r>
      <t>·</t>
    </r>
    <r>
      <rPr>
        <sz val="7"/>
        <rFont val="Times New Roman"/>
        <family val="1"/>
      </rPr>
      <t xml:space="preserve">        </t>
    </r>
    <r>
      <rPr>
        <sz val="11"/>
        <rFont val="Calibri"/>
        <family val="2"/>
        <scheme val="minor"/>
      </rPr>
      <t>Umgang mit elektrischen Unfällen/Beinaheunfällen</t>
    </r>
  </si>
  <si>
    <t>Auswertung/Kommunikation</t>
  </si>
  <si>
    <t>Maßnahmen/Wirksamkeitskontrolle von Maßnahmen</t>
  </si>
  <si>
    <r>
      <t>·</t>
    </r>
    <r>
      <rPr>
        <sz val="7"/>
        <rFont val="Times New Roman"/>
        <family val="1"/>
      </rPr>
      <t xml:space="preserve">        </t>
    </r>
    <r>
      <rPr>
        <sz val="11"/>
        <rFont val="Calibri"/>
        <family val="2"/>
        <scheme val="minor"/>
      </rPr>
      <t xml:space="preserve">Bei Durchführung Schalthandlungen: </t>
    </r>
  </si>
  <si>
    <t xml:space="preserve">Betriebliche Regelungen/Organisation von Schalthandlungen </t>
  </si>
  <si>
    <t>Dokumentation von Schalthandlungen</t>
  </si>
  <si>
    <t>Schaltbefähigung/Schaltberechtigung</t>
  </si>
  <si>
    <t>Erhalt der Qualifikation</t>
  </si>
  <si>
    <t>AuS-Arbeitsanweisungen (Schutzmaßnahmen zum Störlichtbogenschutz)</t>
  </si>
  <si>
    <t xml:space="preserve">Anweisende Elektrofachkraft </t>
  </si>
  <si>
    <t xml:space="preserve">Spezialausbildung </t>
  </si>
  <si>
    <t>Kontrolle (Qualitätssicherung)</t>
  </si>
  <si>
    <t>Anforderungen/Präqualifizierung</t>
  </si>
  <si>
    <t>Einweisung/Schulung</t>
  </si>
  <si>
    <t>Persönliche Maßnahmen zur Vermeidung von Potenzialüberbrückungen (Lichtbogenentstehung) oder zur Begrenzung von Störlichtbogenauswirkungen, z. B.</t>
  </si>
  <si>
    <r>
      <t>·</t>
    </r>
    <r>
      <rPr>
        <sz val="7"/>
        <rFont val="Times New Roman"/>
        <family val="1"/>
      </rPr>
      <t xml:space="preserve">        </t>
    </r>
    <r>
      <rPr>
        <sz val="11"/>
        <rFont val="Calibri"/>
        <family val="2"/>
        <scheme val="minor"/>
      </rPr>
      <t>Nutzung von PSAgS</t>
    </r>
  </si>
  <si>
    <r>
      <t>·</t>
    </r>
    <r>
      <rPr>
        <sz val="7"/>
        <rFont val="Times New Roman"/>
        <family val="1"/>
      </rPr>
      <t xml:space="preserve">        </t>
    </r>
    <r>
      <rPr>
        <sz val="11"/>
        <rFont val="Calibri"/>
        <family val="2"/>
        <scheme val="minor"/>
      </rPr>
      <t xml:space="preserve">Qualifikation der Mitarbeiter </t>
    </r>
  </si>
  <si>
    <t>Statistische Einflussfaktoren, die bei der Bewertung der Eintrittswahrscheinlichkeit eines Störlichtbogens oder einer Verletzung durch Störlichtbogen eine Rolle spielen können, z. B.</t>
  </si>
  <si>
    <r>
      <t>·</t>
    </r>
    <r>
      <rPr>
        <sz val="7"/>
        <rFont val="Times New Roman"/>
        <family val="1"/>
      </rPr>
      <t xml:space="preserve">        </t>
    </r>
    <r>
      <rPr>
        <sz val="11"/>
        <rFont val="Calibri"/>
        <family val="2"/>
        <scheme val="minor"/>
      </rPr>
      <t>Unfallstatistik (z. B. Unfallhäufigkeit auf Basis eigener Betriebserfahrungen oder bekannter Unfallereignisse oder Statistikdaten)</t>
    </r>
  </si>
  <si>
    <r>
      <t>·</t>
    </r>
    <r>
      <rPr>
        <sz val="7"/>
        <rFont val="Times New Roman"/>
        <family val="1"/>
      </rPr>
      <t xml:space="preserve">        </t>
    </r>
    <r>
      <rPr>
        <sz val="11"/>
        <rFont val="Calibri"/>
        <family val="2"/>
        <scheme val="minor"/>
      </rPr>
      <t>Weitere stochastische Faktoren (z. B. Häufigkeit/Dauer der Tätigkeiten mit Störlichtbogengefährdung W-LB/W-LBS &gt; 1, tätigkeitsbezogen: z. B. Spannungsprüfen an freigeschalteten Anlagen)</t>
    </r>
  </si>
  <si>
    <t>Ergonomische Einflussfaktoren, die bei der Bewertung der Eintrittswahrscheinlichkeit eines Störlichtbogens oder einer Verletzung durch Störlichtbogen eine Rolle spielen können, z. B.</t>
  </si>
  <si>
    <r>
      <t>·</t>
    </r>
    <r>
      <rPr>
        <sz val="7"/>
        <rFont val="Times New Roman"/>
        <family val="1"/>
      </rPr>
      <t xml:space="preserve">        </t>
    </r>
    <r>
      <rPr>
        <sz val="11"/>
        <rFont val="Calibri"/>
        <family val="2"/>
        <scheme val="minor"/>
      </rPr>
      <t>PSAgS</t>
    </r>
  </si>
  <si>
    <r>
      <t>·</t>
    </r>
    <r>
      <rPr>
        <sz val="7"/>
        <rFont val="Times New Roman"/>
        <family val="1"/>
      </rPr>
      <t xml:space="preserve">        </t>
    </r>
    <r>
      <rPr>
        <sz val="11"/>
        <rFont val="Calibri"/>
        <family val="2"/>
        <scheme val="minor"/>
      </rPr>
      <t>Arbeitsumgebung (z. B. Bewegungsfreiheit, Zwangshaltung, Beleuchtung, klimatische Bedingungen)</t>
    </r>
  </si>
  <si>
    <t>Ergebnis:</t>
  </si>
  <si>
    <t>SLB-Verletzungen bei Einsatz von PSAgS nicht bekannt, Ausbildung mehrpoliger SLB nur sehr eingeschränkt/kaum möglich</t>
  </si>
  <si>
    <t>Einsatz Abmantelungsgerät (alternativ: Kabelmesser mit nicht leitfähiger Schneide)</t>
  </si>
  <si>
    <t>AuS-NS-Richtlinie/AuS-NS-Arbeitsanweisung: Prüfung auf Fehlerfreiheit des Abzweigkabels z. B. durch Isolationsprüfung</t>
  </si>
  <si>
    <t>Lichtbogenpotenzial: 1. Abmanteln Hauptkabel, 2. Fehler (Kurzschluss) auf Abzweig</t>
  </si>
  <si>
    <t>Gelegentlich bis häufig</t>
  </si>
  <si>
    <t>.. nicht zutreffend</t>
  </si>
  <si>
    <t>nicht zutreffend</t>
  </si>
  <si>
    <t>Denkbar, sehr unwahr-scheinlich</t>
  </si>
  <si>
    <t>Einfluss führt zu Verletzungswahrscheinlichkeit (0 = praktisch unmöglich,
2 = denkbar, aber sehr unwahrscheinlich, 4 = unwahrscheinlich, 7 = selten,
10 = gelegentlich bis häufig)</t>
  </si>
  <si>
    <t xml:space="preserve">Ort / Art der Tätigkeit: </t>
  </si>
  <si>
    <t>Klasse:</t>
  </si>
  <si>
    <t>M. Mustermann</t>
  </si>
  <si>
    <r>
      <t>Überstromschutzeinrichtung t</t>
    </r>
    <r>
      <rPr>
        <vertAlign val="subscript"/>
        <sz val="8"/>
        <rFont val="Arial"/>
        <family val="2"/>
      </rPr>
      <t>K</t>
    </r>
    <r>
      <rPr>
        <sz val="8"/>
        <rFont val="Arial"/>
        <family val="2"/>
      </rPr>
      <t>:</t>
    </r>
  </si>
  <si>
    <r>
      <t>Transmissionsfaktor k</t>
    </r>
    <r>
      <rPr>
        <vertAlign val="subscript"/>
        <sz val="8"/>
        <rFont val="Arial"/>
        <family val="2"/>
      </rPr>
      <t>T:</t>
    </r>
  </si>
  <si>
    <r>
      <t>U</t>
    </r>
    <r>
      <rPr>
        <vertAlign val="subscript"/>
        <sz val="14"/>
        <rFont val="Arial"/>
        <family val="2"/>
      </rPr>
      <t>Nn</t>
    </r>
  </si>
  <si>
    <r>
      <t>I</t>
    </r>
    <r>
      <rPr>
        <vertAlign val="superscript"/>
        <sz val="14"/>
        <rFont val="Arial"/>
        <family val="2"/>
      </rPr>
      <t>"</t>
    </r>
    <r>
      <rPr>
        <vertAlign val="subscript"/>
        <sz val="14"/>
        <rFont val="Arial"/>
        <family val="2"/>
      </rPr>
      <t>k3p max</t>
    </r>
  </si>
  <si>
    <r>
      <t>I</t>
    </r>
    <r>
      <rPr>
        <vertAlign val="superscript"/>
        <sz val="14"/>
        <rFont val="Arial"/>
        <family val="2"/>
      </rPr>
      <t>"</t>
    </r>
    <r>
      <rPr>
        <vertAlign val="subscript"/>
        <sz val="14"/>
        <rFont val="Arial"/>
        <family val="2"/>
      </rPr>
      <t>k3p min</t>
    </r>
  </si>
  <si>
    <r>
      <t>k</t>
    </r>
    <r>
      <rPr>
        <vertAlign val="subscript"/>
        <sz val="14"/>
        <rFont val="Arial"/>
        <family val="2"/>
      </rPr>
      <t>B</t>
    </r>
  </si>
  <si>
    <r>
      <t>I</t>
    </r>
    <r>
      <rPr>
        <vertAlign val="subscript"/>
        <sz val="14"/>
        <rFont val="Arial"/>
        <family val="2"/>
      </rPr>
      <t>kLB</t>
    </r>
    <r>
      <rPr>
        <sz val="14"/>
        <rFont val="Arial"/>
        <family val="2"/>
      </rPr>
      <t xml:space="preserve"> = k</t>
    </r>
    <r>
      <rPr>
        <vertAlign val="subscript"/>
        <sz val="14"/>
        <rFont val="Arial"/>
        <family val="2"/>
      </rPr>
      <t>B</t>
    </r>
    <r>
      <rPr>
        <sz val="14"/>
        <rFont val="Arial"/>
        <family val="2"/>
      </rPr>
      <t xml:space="preserve"> * I"</t>
    </r>
    <r>
      <rPr>
        <vertAlign val="subscript"/>
        <sz val="14"/>
        <rFont val="Arial"/>
        <family val="2"/>
      </rPr>
      <t>k3p</t>
    </r>
    <r>
      <rPr>
        <sz val="14"/>
        <rFont val="Arial"/>
        <family val="2"/>
      </rPr>
      <t xml:space="preserve"> </t>
    </r>
    <r>
      <rPr>
        <vertAlign val="subscript"/>
        <sz val="14"/>
        <rFont val="Arial"/>
        <family val="2"/>
      </rPr>
      <t>min</t>
    </r>
    <r>
      <rPr>
        <sz val="14"/>
        <rFont val="Arial"/>
        <family val="2"/>
      </rPr>
      <t xml:space="preserve"> </t>
    </r>
  </si>
  <si>
    <r>
      <t>I</t>
    </r>
    <r>
      <rPr>
        <vertAlign val="subscript"/>
        <sz val="14"/>
        <rFont val="Arial"/>
        <family val="2"/>
      </rPr>
      <t xml:space="preserve">kLB </t>
    </r>
    <r>
      <rPr>
        <sz val="14"/>
        <rFont val="Arial"/>
        <family val="2"/>
      </rPr>
      <t>=</t>
    </r>
  </si>
  <si>
    <r>
      <t>t</t>
    </r>
    <r>
      <rPr>
        <vertAlign val="subscript"/>
        <sz val="14"/>
        <rFont val="Arial"/>
        <family val="2"/>
      </rPr>
      <t>k</t>
    </r>
  </si>
  <si>
    <r>
      <t>S</t>
    </r>
    <r>
      <rPr>
        <vertAlign val="superscript"/>
        <sz val="14"/>
        <rFont val="Arial"/>
        <family val="2"/>
      </rPr>
      <t>"</t>
    </r>
    <r>
      <rPr>
        <vertAlign val="subscript"/>
        <sz val="14"/>
        <rFont val="Arial"/>
        <family val="2"/>
      </rPr>
      <t>k</t>
    </r>
    <r>
      <rPr>
        <sz val="14"/>
        <rFont val="Arial"/>
        <family val="2"/>
      </rPr>
      <t xml:space="preserve"> = √3 * U</t>
    </r>
    <r>
      <rPr>
        <vertAlign val="subscript"/>
        <sz val="14"/>
        <rFont val="Arial"/>
        <family val="2"/>
      </rPr>
      <t>Nn</t>
    </r>
    <r>
      <rPr>
        <sz val="14"/>
        <rFont val="Arial"/>
        <family val="2"/>
      </rPr>
      <t xml:space="preserve"> * I</t>
    </r>
    <r>
      <rPr>
        <vertAlign val="superscript"/>
        <sz val="14"/>
        <rFont val="Arial"/>
        <family val="2"/>
      </rPr>
      <t>"</t>
    </r>
    <r>
      <rPr>
        <vertAlign val="subscript"/>
        <sz val="14"/>
        <rFont val="Arial"/>
        <family val="2"/>
      </rPr>
      <t>k3p max</t>
    </r>
    <r>
      <rPr>
        <sz val="14"/>
        <rFont val="Arial"/>
        <family val="2"/>
      </rPr>
      <t xml:space="preserve"> </t>
    </r>
  </si>
  <si>
    <r>
      <t>S"</t>
    </r>
    <r>
      <rPr>
        <vertAlign val="subscript"/>
        <sz val="14"/>
        <rFont val="Arial"/>
        <family val="2"/>
      </rPr>
      <t xml:space="preserve">k </t>
    </r>
    <r>
      <rPr>
        <sz val="14"/>
        <rFont val="Arial"/>
        <family val="2"/>
      </rPr>
      <t>=</t>
    </r>
  </si>
  <si>
    <r>
      <t>k</t>
    </r>
    <r>
      <rPr>
        <vertAlign val="subscript"/>
        <sz val="14"/>
        <rFont val="Arial"/>
        <family val="2"/>
      </rPr>
      <t xml:space="preserve">p </t>
    </r>
    <r>
      <rPr>
        <sz val="14"/>
        <rFont val="Arial"/>
        <family val="2"/>
      </rPr>
      <t>=</t>
    </r>
  </si>
  <si>
    <r>
      <t>P</t>
    </r>
    <r>
      <rPr>
        <vertAlign val="subscript"/>
        <sz val="14"/>
        <rFont val="Arial"/>
        <family val="2"/>
      </rPr>
      <t>LB</t>
    </r>
    <r>
      <rPr>
        <sz val="14"/>
        <rFont val="Arial"/>
        <family val="2"/>
      </rPr>
      <t xml:space="preserve"> = k</t>
    </r>
    <r>
      <rPr>
        <vertAlign val="subscript"/>
        <sz val="14"/>
        <rFont val="Arial"/>
        <family val="2"/>
      </rPr>
      <t>p</t>
    </r>
    <r>
      <rPr>
        <sz val="14"/>
        <rFont val="Arial"/>
        <family val="2"/>
      </rPr>
      <t xml:space="preserve"> * S"</t>
    </r>
    <r>
      <rPr>
        <vertAlign val="subscript"/>
        <sz val="14"/>
        <rFont val="Arial"/>
        <family val="2"/>
      </rPr>
      <t>k</t>
    </r>
    <r>
      <rPr>
        <sz val="14"/>
        <rFont val="Arial"/>
        <family val="2"/>
      </rPr>
      <t xml:space="preserve"> </t>
    </r>
  </si>
  <si>
    <r>
      <t>P</t>
    </r>
    <r>
      <rPr>
        <vertAlign val="subscript"/>
        <sz val="14"/>
        <rFont val="Arial"/>
        <family val="2"/>
      </rPr>
      <t>LB</t>
    </r>
    <r>
      <rPr>
        <sz val="14"/>
        <rFont val="Arial"/>
        <family val="2"/>
      </rPr>
      <t xml:space="preserve"> =</t>
    </r>
  </si>
  <si>
    <r>
      <t>W</t>
    </r>
    <r>
      <rPr>
        <vertAlign val="subscript"/>
        <sz val="14"/>
        <rFont val="Arial"/>
        <family val="2"/>
      </rPr>
      <t xml:space="preserve">LB </t>
    </r>
    <r>
      <rPr>
        <sz val="14"/>
        <rFont val="Arial"/>
        <family val="2"/>
      </rPr>
      <t>=</t>
    </r>
  </si>
  <si>
    <t>Lichtbogenschutzklassen der Kleidung 
(gemäß Box-Test-Parameter)</t>
  </si>
  <si>
    <r>
      <t>k</t>
    </r>
    <r>
      <rPr>
        <vertAlign val="subscript"/>
        <sz val="14"/>
        <rFont val="Arial"/>
        <family val="2"/>
      </rPr>
      <t>T</t>
    </r>
    <r>
      <rPr>
        <sz val="14"/>
        <rFont val="Arial"/>
        <family val="2"/>
      </rPr>
      <t xml:space="preserve"> </t>
    </r>
  </si>
  <si>
    <r>
      <t>W</t>
    </r>
    <r>
      <rPr>
        <vertAlign val="subscript"/>
        <sz val="14"/>
        <rFont val="Arial"/>
        <family val="2"/>
      </rPr>
      <t>LBS</t>
    </r>
    <r>
      <rPr>
        <sz val="14"/>
        <rFont val="Arial"/>
        <family val="2"/>
      </rPr>
      <t xml:space="preserve"> = k</t>
    </r>
    <r>
      <rPr>
        <vertAlign val="subscript"/>
        <sz val="14"/>
        <rFont val="Arial"/>
        <family val="2"/>
      </rPr>
      <t>T</t>
    </r>
    <r>
      <rPr>
        <sz val="14"/>
        <rFont val="Arial"/>
        <family val="2"/>
      </rPr>
      <t xml:space="preserve"> * (a/300 mm)</t>
    </r>
    <r>
      <rPr>
        <vertAlign val="superscript"/>
        <sz val="14"/>
        <rFont val="Arial"/>
        <family val="2"/>
      </rPr>
      <t>2</t>
    </r>
    <r>
      <rPr>
        <sz val="14"/>
        <rFont val="Arial"/>
        <family val="2"/>
      </rPr>
      <t xml:space="preserve"> * W</t>
    </r>
    <r>
      <rPr>
        <vertAlign val="subscript"/>
        <sz val="14"/>
        <rFont val="Arial"/>
        <family val="2"/>
      </rPr>
      <t>LBP</t>
    </r>
  </si>
  <si>
    <t>Verhältnis</t>
  </si>
  <si>
    <r>
      <t>Verhältnis W</t>
    </r>
    <r>
      <rPr>
        <vertAlign val="subscript"/>
        <sz val="14"/>
        <rFont val="Arial"/>
        <family val="2"/>
      </rPr>
      <t>LB</t>
    </r>
    <r>
      <rPr>
        <sz val="14"/>
        <rFont val="Arial"/>
        <family val="2"/>
      </rPr>
      <t xml:space="preserve"> / W</t>
    </r>
    <r>
      <rPr>
        <vertAlign val="subscript"/>
        <sz val="14"/>
        <rFont val="Arial"/>
        <family val="2"/>
      </rPr>
      <t>LBS</t>
    </r>
    <r>
      <rPr>
        <sz val="14"/>
        <rFont val="Arial"/>
        <family val="2"/>
      </rPr>
      <t xml:space="preserve"> für Klasse 2</t>
    </r>
  </si>
  <si>
    <r>
      <t>Verhältnis W</t>
    </r>
    <r>
      <rPr>
        <vertAlign val="subscript"/>
        <sz val="14"/>
        <rFont val="Arial"/>
        <family val="2"/>
      </rPr>
      <t>LB</t>
    </r>
    <r>
      <rPr>
        <sz val="14"/>
        <rFont val="Arial"/>
        <family val="2"/>
      </rPr>
      <t xml:space="preserve"> / W</t>
    </r>
    <r>
      <rPr>
        <vertAlign val="subscript"/>
        <sz val="14"/>
        <rFont val="Arial"/>
        <family val="2"/>
      </rPr>
      <t>LBS</t>
    </r>
    <r>
      <rPr>
        <sz val="14"/>
        <rFont val="Arial"/>
        <family val="2"/>
      </rPr>
      <t xml:space="preserve"> für Klasse 1</t>
    </r>
  </si>
  <si>
    <r>
      <t>U</t>
    </r>
    <r>
      <rPr>
        <vertAlign val="subscript"/>
        <sz val="8"/>
        <rFont val="Arial"/>
        <family val="2"/>
      </rPr>
      <t>Nn</t>
    </r>
  </si>
  <si>
    <t>Kurzschlußstromberechnung</t>
  </si>
  <si>
    <r>
      <t>I</t>
    </r>
    <r>
      <rPr>
        <vertAlign val="superscript"/>
        <sz val="8"/>
        <rFont val="Arial"/>
        <family val="2"/>
      </rPr>
      <t>"</t>
    </r>
    <r>
      <rPr>
        <vertAlign val="subscript"/>
        <sz val="8"/>
        <rFont val="Arial"/>
        <family val="2"/>
      </rPr>
      <t>k3p max</t>
    </r>
  </si>
  <si>
    <r>
      <t>I</t>
    </r>
    <r>
      <rPr>
        <vertAlign val="superscript"/>
        <sz val="8"/>
        <rFont val="Arial"/>
        <family val="2"/>
      </rPr>
      <t>"</t>
    </r>
    <r>
      <rPr>
        <vertAlign val="subscript"/>
        <sz val="8"/>
        <rFont val="Arial"/>
        <family val="2"/>
      </rPr>
      <t>k3p min</t>
    </r>
  </si>
  <si>
    <t>Strombegrenzung</t>
  </si>
  <si>
    <r>
      <t>k</t>
    </r>
    <r>
      <rPr>
        <vertAlign val="subscript"/>
        <sz val="8"/>
        <rFont val="Arial"/>
        <family val="2"/>
      </rPr>
      <t>B</t>
    </r>
  </si>
  <si>
    <r>
      <t>I</t>
    </r>
    <r>
      <rPr>
        <vertAlign val="subscript"/>
        <sz val="8"/>
        <rFont val="Arial"/>
        <family val="2"/>
      </rPr>
      <t>kLB</t>
    </r>
    <r>
      <rPr>
        <sz val="8"/>
        <rFont val="Arial"/>
        <family val="2"/>
      </rPr>
      <t xml:space="preserve"> = k</t>
    </r>
    <r>
      <rPr>
        <vertAlign val="subscript"/>
        <sz val="8"/>
        <rFont val="Arial"/>
        <family val="2"/>
      </rPr>
      <t>B</t>
    </r>
    <r>
      <rPr>
        <sz val="8"/>
        <rFont val="Arial"/>
        <family val="2"/>
      </rPr>
      <t xml:space="preserve"> * I"</t>
    </r>
    <r>
      <rPr>
        <vertAlign val="subscript"/>
        <sz val="8"/>
        <rFont val="Arial"/>
        <family val="2"/>
      </rPr>
      <t>k3p</t>
    </r>
    <r>
      <rPr>
        <sz val="8"/>
        <rFont val="Arial"/>
        <family val="2"/>
      </rPr>
      <t xml:space="preserve"> </t>
    </r>
    <r>
      <rPr>
        <vertAlign val="subscript"/>
        <sz val="8"/>
        <rFont val="Arial"/>
        <family val="2"/>
      </rPr>
      <t>min</t>
    </r>
    <r>
      <rPr>
        <sz val="8"/>
        <rFont val="Arial"/>
        <family val="2"/>
      </rPr>
      <t xml:space="preserve"> </t>
    </r>
  </si>
  <si>
    <r>
      <t>I</t>
    </r>
    <r>
      <rPr>
        <vertAlign val="subscript"/>
        <sz val="8"/>
        <rFont val="Arial"/>
        <family val="2"/>
      </rPr>
      <t xml:space="preserve">kLB </t>
    </r>
    <r>
      <rPr>
        <sz val="8"/>
        <rFont val="Arial"/>
        <family val="2"/>
      </rPr>
      <t>=</t>
    </r>
  </si>
  <si>
    <t>Abschaltzeit der Überstromschutzeinrichtung
(Einstellwert des Leistungsschalter / Abschaltzeit aus der Sicherungskennlinie)</t>
  </si>
  <si>
    <r>
      <t>t</t>
    </r>
    <r>
      <rPr>
        <vertAlign val="subscript"/>
        <sz val="8"/>
        <rFont val="Arial"/>
        <family val="2"/>
      </rPr>
      <t>k</t>
    </r>
  </si>
  <si>
    <t>Kurzschlussleistung</t>
  </si>
  <si>
    <r>
      <t>S</t>
    </r>
    <r>
      <rPr>
        <vertAlign val="superscript"/>
        <sz val="8"/>
        <rFont val="Arial"/>
        <family val="2"/>
      </rPr>
      <t>"</t>
    </r>
    <r>
      <rPr>
        <vertAlign val="subscript"/>
        <sz val="8"/>
        <rFont val="Arial"/>
        <family val="2"/>
      </rPr>
      <t>k</t>
    </r>
    <r>
      <rPr>
        <sz val="8"/>
        <rFont val="Arial"/>
        <family val="2"/>
      </rPr>
      <t xml:space="preserve"> = √3 * U</t>
    </r>
    <r>
      <rPr>
        <vertAlign val="subscript"/>
        <sz val="8"/>
        <rFont val="Arial"/>
        <family val="2"/>
      </rPr>
      <t>Nn</t>
    </r>
    <r>
      <rPr>
        <sz val="8"/>
        <rFont val="Arial"/>
        <family val="2"/>
      </rPr>
      <t xml:space="preserve"> * I</t>
    </r>
    <r>
      <rPr>
        <vertAlign val="superscript"/>
        <sz val="8"/>
        <rFont val="Arial"/>
        <family val="2"/>
      </rPr>
      <t>"</t>
    </r>
    <r>
      <rPr>
        <vertAlign val="subscript"/>
        <sz val="8"/>
        <rFont val="Arial"/>
        <family val="2"/>
      </rPr>
      <t>k3p max</t>
    </r>
    <r>
      <rPr>
        <sz val="8"/>
        <rFont val="Arial"/>
        <family val="2"/>
      </rPr>
      <t xml:space="preserve"> </t>
    </r>
  </si>
  <si>
    <r>
      <t>S"</t>
    </r>
    <r>
      <rPr>
        <vertAlign val="subscript"/>
        <sz val="8"/>
        <rFont val="Arial"/>
        <family val="2"/>
      </rPr>
      <t xml:space="preserve">k </t>
    </r>
    <r>
      <rPr>
        <sz val="8"/>
        <rFont val="Arial"/>
        <family val="2"/>
      </rPr>
      <t>=</t>
    </r>
  </si>
  <si>
    <t>Bezogene LB-Leistung</t>
  </si>
  <si>
    <r>
      <t>k</t>
    </r>
    <r>
      <rPr>
        <vertAlign val="subscript"/>
        <sz val="8"/>
        <rFont val="Arial"/>
        <family val="2"/>
      </rPr>
      <t xml:space="preserve">p </t>
    </r>
    <r>
      <rPr>
        <sz val="8"/>
        <rFont val="Arial"/>
        <family val="2"/>
      </rPr>
      <t>=</t>
    </r>
  </si>
  <si>
    <r>
      <t>P</t>
    </r>
    <r>
      <rPr>
        <vertAlign val="subscript"/>
        <sz val="8"/>
        <rFont val="Arial"/>
        <family val="2"/>
      </rPr>
      <t>LB</t>
    </r>
    <r>
      <rPr>
        <sz val="8"/>
        <rFont val="Arial"/>
        <family val="2"/>
      </rPr>
      <t xml:space="preserve"> = k</t>
    </r>
    <r>
      <rPr>
        <vertAlign val="subscript"/>
        <sz val="8"/>
        <rFont val="Arial"/>
        <family val="2"/>
      </rPr>
      <t>p</t>
    </r>
    <r>
      <rPr>
        <sz val="8"/>
        <rFont val="Arial"/>
        <family val="2"/>
      </rPr>
      <t xml:space="preserve"> * S"</t>
    </r>
    <r>
      <rPr>
        <vertAlign val="subscript"/>
        <sz val="8"/>
        <rFont val="Arial"/>
        <family val="2"/>
      </rPr>
      <t>k</t>
    </r>
    <r>
      <rPr>
        <sz val="8"/>
        <rFont val="Arial"/>
        <family val="2"/>
      </rPr>
      <t xml:space="preserve"> </t>
    </r>
  </si>
  <si>
    <r>
      <t>P</t>
    </r>
    <r>
      <rPr>
        <vertAlign val="subscript"/>
        <sz val="8"/>
        <rFont val="Arial"/>
        <family val="2"/>
      </rPr>
      <t>LB</t>
    </r>
    <r>
      <rPr>
        <sz val="8"/>
        <rFont val="Arial"/>
        <family val="2"/>
      </rPr>
      <t xml:space="preserve"> =</t>
    </r>
  </si>
  <si>
    <r>
      <t>W</t>
    </r>
    <r>
      <rPr>
        <vertAlign val="subscript"/>
        <sz val="8"/>
        <rFont val="Arial"/>
        <family val="2"/>
      </rPr>
      <t xml:space="preserve">LB </t>
    </r>
    <r>
      <rPr>
        <sz val="8"/>
        <rFont val="Arial"/>
        <family val="2"/>
      </rPr>
      <t>=</t>
    </r>
  </si>
  <si>
    <t>Arbeitsabstand</t>
  </si>
  <si>
    <t>PSA Normprüfpegel</t>
  </si>
  <si>
    <r>
      <t>k</t>
    </r>
    <r>
      <rPr>
        <vertAlign val="subscript"/>
        <sz val="8"/>
        <rFont val="Arial"/>
        <family val="2"/>
      </rPr>
      <t>T</t>
    </r>
    <r>
      <rPr>
        <sz val="8"/>
        <rFont val="Arial"/>
        <family val="2"/>
      </rPr>
      <t xml:space="preserve"> </t>
    </r>
  </si>
  <si>
    <t>Schutzpegel der Kleidung am Lichtbogenort 
(Hochrechnung der Boxtestparameter auf 
den Lichtbogenort)</t>
  </si>
  <si>
    <t>Vergleich</t>
  </si>
  <si>
    <t>Begründung zum Transmissionsfaktor:</t>
  </si>
  <si>
    <t>/</t>
  </si>
  <si>
    <t>Eintrittswahrschein-lichkeit einer Verletzung</t>
  </si>
  <si>
    <r>
      <t>W</t>
    </r>
    <r>
      <rPr>
        <vertAlign val="subscript"/>
        <sz val="14"/>
        <rFont val="Arial"/>
        <family val="2"/>
      </rPr>
      <t>LBS_APC2</t>
    </r>
    <r>
      <rPr>
        <sz val="14"/>
        <rFont val="Arial"/>
        <family val="2"/>
      </rPr>
      <t xml:space="preserve"> =</t>
    </r>
  </si>
  <si>
    <r>
      <t>W</t>
    </r>
    <r>
      <rPr>
        <vertAlign val="subscript"/>
        <sz val="14"/>
        <rFont val="Arial"/>
        <family val="2"/>
      </rPr>
      <t>LBS_APC1</t>
    </r>
    <r>
      <rPr>
        <sz val="14"/>
        <rFont val="Arial"/>
        <family val="2"/>
      </rPr>
      <t xml:space="preserve"> =</t>
    </r>
  </si>
  <si>
    <r>
      <t>W</t>
    </r>
    <r>
      <rPr>
        <vertAlign val="subscript"/>
        <sz val="14"/>
        <rFont val="Arial"/>
        <family val="2"/>
      </rPr>
      <t>LB</t>
    </r>
    <r>
      <rPr>
        <sz val="14"/>
        <rFont val="Arial"/>
        <family val="2"/>
      </rPr>
      <t xml:space="preserve"> / W</t>
    </r>
    <r>
      <rPr>
        <vertAlign val="subscript"/>
        <sz val="14"/>
        <rFont val="Arial"/>
        <family val="2"/>
      </rPr>
      <t>LBS_APC2</t>
    </r>
  </si>
  <si>
    <r>
      <t>W</t>
    </r>
    <r>
      <rPr>
        <vertAlign val="subscript"/>
        <sz val="14"/>
        <rFont val="Arial"/>
        <family val="2"/>
      </rPr>
      <t>LB</t>
    </r>
    <r>
      <rPr>
        <sz val="14"/>
        <rFont val="Arial"/>
        <family val="2"/>
      </rPr>
      <t xml:space="preserve"> / W</t>
    </r>
    <r>
      <rPr>
        <vertAlign val="subscript"/>
        <sz val="14"/>
        <rFont val="Arial"/>
        <family val="2"/>
      </rPr>
      <t>LBS_APC1</t>
    </r>
  </si>
  <si>
    <r>
      <t>t</t>
    </r>
    <r>
      <rPr>
        <vertAlign val="subscript"/>
        <sz val="14"/>
        <rFont val="Arial"/>
        <family val="2"/>
      </rPr>
      <t>k_APC2</t>
    </r>
  </si>
  <si>
    <r>
      <t>t</t>
    </r>
    <r>
      <rPr>
        <vertAlign val="subscript"/>
        <sz val="14"/>
        <rFont val="Arial"/>
        <family val="2"/>
      </rPr>
      <t>k_APC1</t>
    </r>
  </si>
  <si>
    <r>
      <t>a_</t>
    </r>
    <r>
      <rPr>
        <vertAlign val="subscript"/>
        <sz val="14"/>
        <rFont val="Arial"/>
        <family val="2"/>
      </rPr>
      <t>APC2</t>
    </r>
  </si>
  <si>
    <r>
      <t>a_</t>
    </r>
    <r>
      <rPr>
        <vertAlign val="subscript"/>
        <sz val="14"/>
        <rFont val="Arial"/>
        <family val="2"/>
      </rPr>
      <t>APC1</t>
    </r>
  </si>
  <si>
    <r>
      <t>W</t>
    </r>
    <r>
      <rPr>
        <vertAlign val="subscript"/>
        <sz val="14"/>
        <rFont val="Arial"/>
        <family val="2"/>
      </rPr>
      <t>LBP_APC2</t>
    </r>
  </si>
  <si>
    <r>
      <t>W</t>
    </r>
    <r>
      <rPr>
        <vertAlign val="subscript"/>
        <sz val="14"/>
        <rFont val="Arial"/>
        <family val="2"/>
      </rPr>
      <t>LBP_APC1</t>
    </r>
  </si>
  <si>
    <t>APC1</t>
  </si>
  <si>
    <t>APC2</t>
  </si>
  <si>
    <r>
      <t>W</t>
    </r>
    <r>
      <rPr>
        <vertAlign val="subscript"/>
        <sz val="8"/>
        <rFont val="Arial"/>
        <family val="2"/>
      </rPr>
      <t>LBP_APC2</t>
    </r>
    <r>
      <rPr>
        <sz val="8"/>
        <rFont val="Arial"/>
        <family val="2"/>
      </rPr>
      <t xml:space="preserve"> =</t>
    </r>
  </si>
  <si>
    <r>
      <t>W</t>
    </r>
    <r>
      <rPr>
        <vertAlign val="subscript"/>
        <sz val="8"/>
        <rFont val="Arial"/>
        <family val="2"/>
      </rPr>
      <t>LBP_APC1</t>
    </r>
    <r>
      <rPr>
        <sz val="8"/>
        <rFont val="Arial"/>
        <family val="2"/>
      </rPr>
      <t xml:space="preserve"> =</t>
    </r>
  </si>
  <si>
    <r>
      <t>W</t>
    </r>
    <r>
      <rPr>
        <vertAlign val="subscript"/>
        <sz val="8"/>
        <rFont val="Arial"/>
        <family val="2"/>
      </rPr>
      <t>LBS_APC2</t>
    </r>
    <r>
      <rPr>
        <sz val="8"/>
        <rFont val="Arial"/>
        <family val="2"/>
      </rPr>
      <t xml:space="preserve"> =</t>
    </r>
  </si>
  <si>
    <r>
      <t>W</t>
    </r>
    <r>
      <rPr>
        <vertAlign val="subscript"/>
        <sz val="8"/>
        <rFont val="Arial"/>
        <family val="2"/>
      </rPr>
      <t>LBS_APC1</t>
    </r>
    <r>
      <rPr>
        <sz val="8"/>
        <rFont val="Arial"/>
        <family val="2"/>
      </rPr>
      <t xml:space="preserve"> =</t>
    </r>
  </si>
  <si>
    <r>
      <t>W</t>
    </r>
    <r>
      <rPr>
        <vertAlign val="subscript"/>
        <sz val="8"/>
        <rFont val="Arial"/>
        <family val="2"/>
      </rPr>
      <t>LB</t>
    </r>
    <r>
      <rPr>
        <sz val="8"/>
        <rFont val="Arial"/>
        <family val="2"/>
      </rPr>
      <t xml:space="preserve"> &lt; W</t>
    </r>
    <r>
      <rPr>
        <vertAlign val="subscript"/>
        <sz val="8"/>
        <rFont val="Arial"/>
        <family val="2"/>
      </rPr>
      <t>LBS_APC2</t>
    </r>
  </si>
  <si>
    <r>
      <t>W</t>
    </r>
    <r>
      <rPr>
        <vertAlign val="subscript"/>
        <sz val="8"/>
        <rFont val="Arial"/>
        <family val="2"/>
      </rPr>
      <t>LB</t>
    </r>
    <r>
      <rPr>
        <sz val="8"/>
        <rFont val="Arial"/>
        <family val="2"/>
      </rPr>
      <t xml:space="preserve"> &lt; W</t>
    </r>
    <r>
      <rPr>
        <vertAlign val="subscript"/>
        <sz val="8"/>
        <rFont val="Arial"/>
        <family val="2"/>
      </rPr>
      <t>LBS_APC1</t>
    </r>
  </si>
  <si>
    <t>AuS-NS-Spezialausbildung, Einsatz PSAgS APC 2</t>
  </si>
  <si>
    <t>Tragekomfort PSAgS APC 2 ggf. eingeschränkt (Gesichtsschutz: Hitzestau, Beschlag), Arbeiten ggf. in Zwangshaltung</t>
  </si>
  <si>
    <t>Ergebnis Rechnung:</t>
  </si>
  <si>
    <t>Ergebnis Risikobwertung:</t>
  </si>
  <si>
    <r>
      <t xml:space="preserve">Verletzungs-schwere
</t>
    </r>
    <r>
      <rPr>
        <b/>
        <i/>
        <sz val="12"/>
        <color rgb="FF00B050"/>
        <rFont val="Calibri"/>
        <family val="2"/>
        <scheme val="minor"/>
      </rPr>
      <t>W</t>
    </r>
    <r>
      <rPr>
        <b/>
        <vertAlign val="subscript"/>
        <sz val="12"/>
        <color rgb="FF00B050"/>
        <rFont val="Calibri"/>
        <family val="2"/>
        <scheme val="minor"/>
      </rPr>
      <t>LB</t>
    </r>
    <r>
      <rPr>
        <b/>
        <sz val="12"/>
        <color rgb="FF00B050"/>
        <rFont val="Calibri"/>
        <family val="2"/>
        <scheme val="minor"/>
      </rPr>
      <t xml:space="preserve"> / </t>
    </r>
    <r>
      <rPr>
        <b/>
        <i/>
        <sz val="12"/>
        <color rgb="FF00B050"/>
        <rFont val="Calibri"/>
        <family val="2"/>
        <scheme val="minor"/>
      </rPr>
      <t>W</t>
    </r>
    <r>
      <rPr>
        <b/>
        <vertAlign val="subscript"/>
        <sz val="12"/>
        <color rgb="FF00B050"/>
        <rFont val="Calibri"/>
        <family val="2"/>
        <scheme val="minor"/>
      </rPr>
      <t>LBS</t>
    </r>
  </si>
  <si>
    <t>(Abschnitt 4.2.3)</t>
  </si>
  <si>
    <t>An-/abklemmen von Abgängen; Reinigungsarbeiten; Messen und Prüfen</t>
  </si>
  <si>
    <t>Verfahren</t>
  </si>
  <si>
    <t>kV</t>
  </si>
  <si>
    <t>Netzspannung Eingabe</t>
  </si>
  <si>
    <t>Netzspannung in Volt</t>
  </si>
  <si>
    <t>p.u.</t>
  </si>
  <si>
    <t>Elektrodenabstand Eingabe</t>
  </si>
  <si>
    <t>Scheinleistung berechnet</t>
  </si>
  <si>
    <t>MVA</t>
  </si>
  <si>
    <t>P_LB min</t>
  </si>
  <si>
    <t>MW</t>
  </si>
  <si>
    <t>2)Worst-case-Betrachtung</t>
  </si>
  <si>
    <t>Lichtbogenspannung</t>
  </si>
  <si>
    <t>kP = 0,78 * U_LB/U_Nn</t>
  </si>
  <si>
    <t>P_LB</t>
  </si>
  <si>
    <t>U_LB1 = 400 V + 14,5 V/cm * d</t>
  </si>
  <si>
    <t>U_LB2 = 40 V/cm * d</t>
  </si>
  <si>
    <t>Maximum von U_LB1 und U_LB2</t>
  </si>
  <si>
    <t>U_LB_max</t>
  </si>
  <si>
    <t>Anmerkungen</t>
  </si>
  <si>
    <t>Fragen</t>
  </si>
  <si>
    <t>Größe</t>
  </si>
  <si>
    <t>Einheit</t>
  </si>
  <si>
    <t>MS-AC</t>
  </si>
  <si>
    <t>Wenn d&lt;=0 oder Un&lt;=1kV --&gt; keine Berechnung und Hinweis bei User-Eingabe</t>
  </si>
  <si>
    <t>zurück zur Risikobewertung</t>
  </si>
  <si>
    <t>Berechnungsmethode:</t>
  </si>
  <si>
    <t>Worst-Case-Betrachtung</t>
  </si>
  <si>
    <t>Verknüpfung zur User-Eingabe</t>
  </si>
  <si>
    <t>Dropdown-Liste Berechnungsverfahren</t>
  </si>
  <si>
    <t>Zurordnung ausgewähltes Berechnungsverfahren</t>
  </si>
  <si>
    <t>Dropdown-Liste Spannung</t>
  </si>
  <si>
    <t xml:space="preserve">Zuordnung ausgewählte Spannungsebene </t>
  </si>
  <si>
    <r>
      <t>·</t>
    </r>
    <r>
      <rPr>
        <sz val="7"/>
        <color rgb="FFFF0000"/>
        <rFont val="Times New Roman"/>
        <family val="1"/>
      </rPr>
      <t xml:space="preserve">        </t>
    </r>
    <r>
      <rPr>
        <sz val="11"/>
        <color rgb="FFFF0000"/>
        <rFont val="Calibri"/>
        <family val="2"/>
        <scheme val="minor"/>
      </rPr>
      <t>Berührungsschutz (z. B. VDE 0660-514)</t>
    </r>
  </si>
  <si>
    <r>
      <t>·</t>
    </r>
    <r>
      <rPr>
        <sz val="7"/>
        <color rgb="FFFF0000"/>
        <rFont val="Times New Roman"/>
        <family val="1"/>
      </rPr>
      <t xml:space="preserve">        </t>
    </r>
    <r>
      <rPr>
        <sz val="11"/>
        <color rgb="FFFF0000"/>
        <rFont val="Calibri"/>
        <family val="2"/>
        <scheme val="minor"/>
      </rPr>
      <t>NS-Anlage gemäß VDE 0660-600-2 Beiblatt 1 (Störlichtbogengeprüfte Anlagen)</t>
    </r>
  </si>
  <si>
    <r>
      <t>·</t>
    </r>
    <r>
      <rPr>
        <sz val="7"/>
        <color rgb="FFFF0000"/>
        <rFont val="Times New Roman"/>
        <family val="1"/>
      </rPr>
      <t xml:space="preserve">        </t>
    </r>
    <r>
      <rPr>
        <sz val="11"/>
        <color rgb="FFFF0000"/>
        <rFont val="Calibri"/>
        <family val="2"/>
        <scheme val="minor"/>
      </rPr>
      <t>Fußpunktfreie NS-Anlage</t>
    </r>
  </si>
  <si>
    <r>
      <t>·</t>
    </r>
    <r>
      <rPr>
        <sz val="7"/>
        <color rgb="FFFF0000"/>
        <rFont val="Times New Roman"/>
        <family val="1"/>
      </rPr>
      <t xml:space="preserve">        </t>
    </r>
    <r>
      <rPr>
        <sz val="11"/>
        <color rgb="FFFF0000"/>
        <rFont val="Calibri"/>
        <family val="2"/>
        <scheme val="minor"/>
      </rPr>
      <t>Aktives Störlichtbogenschutzsystem</t>
    </r>
  </si>
  <si>
    <r>
      <t>·</t>
    </r>
    <r>
      <rPr>
        <sz val="7"/>
        <color rgb="FFFF0000"/>
        <rFont val="Times New Roman"/>
        <family val="1"/>
      </rPr>
      <t xml:space="preserve">        </t>
    </r>
    <r>
      <rPr>
        <sz val="11"/>
        <color rgb="FFFF0000"/>
        <rFont val="Calibri"/>
        <family val="2"/>
        <scheme val="minor"/>
      </rPr>
      <t>Aktiver Störlichtbogenschutz</t>
    </r>
  </si>
  <si>
    <r>
      <t>·</t>
    </r>
    <r>
      <rPr>
        <sz val="7"/>
        <color rgb="FFFF0000"/>
        <rFont val="Times New Roman"/>
        <family val="1"/>
      </rPr>
      <t xml:space="preserve">        </t>
    </r>
    <r>
      <rPr>
        <sz val="11"/>
        <color rgb="FFFF0000"/>
        <rFont val="Calibri"/>
        <family val="2"/>
        <scheme val="minor"/>
      </rPr>
      <t xml:space="preserve">Umgang mit Fremdpersonal </t>
    </r>
  </si>
  <si>
    <r>
      <t>·</t>
    </r>
    <r>
      <rPr>
        <sz val="7"/>
        <color rgb="FFFF0000"/>
        <rFont val="Times New Roman"/>
        <family val="1"/>
      </rPr>
      <t xml:space="preserve">        </t>
    </r>
    <r>
      <rPr>
        <sz val="11"/>
        <color rgb="FFFF0000"/>
        <rFont val="Calibri"/>
        <family val="2"/>
        <scheme val="minor"/>
      </rPr>
      <t>Bei Durchführung AuS:</t>
    </r>
  </si>
  <si>
    <t>Verwendung/Prüfung (z. B. Sichtprüfung)</t>
  </si>
  <si>
    <t>Auswahl der PSAgS (z. B. Störlichtbogenschutzklasse APC)</t>
  </si>
  <si>
    <r>
      <t>W</t>
    </r>
    <r>
      <rPr>
        <vertAlign val="subscript"/>
        <sz val="14"/>
        <rFont val="Arial"/>
        <family val="2"/>
      </rPr>
      <t>LB</t>
    </r>
    <r>
      <rPr>
        <sz val="14"/>
        <rFont val="Arial"/>
        <family val="2"/>
      </rPr>
      <t xml:space="preserve"> = k</t>
    </r>
    <r>
      <rPr>
        <vertAlign val="subscript"/>
        <sz val="14"/>
        <rFont val="Arial"/>
        <family val="2"/>
      </rPr>
      <t>P</t>
    </r>
    <r>
      <rPr>
        <sz val="14"/>
        <rFont val="Arial"/>
        <family val="2"/>
      </rPr>
      <t xml:space="preserve"> * S</t>
    </r>
    <r>
      <rPr>
        <vertAlign val="superscript"/>
        <sz val="14"/>
        <rFont val="Arial"/>
        <family val="2"/>
      </rPr>
      <t>"</t>
    </r>
    <r>
      <rPr>
        <vertAlign val="subscript"/>
        <sz val="14"/>
        <rFont val="Arial"/>
        <family val="2"/>
      </rPr>
      <t>k</t>
    </r>
    <r>
      <rPr>
        <sz val="14"/>
        <rFont val="Arial"/>
        <family val="2"/>
      </rPr>
      <t xml:space="preserve"> * t</t>
    </r>
    <r>
      <rPr>
        <vertAlign val="subscript"/>
        <sz val="14"/>
        <rFont val="Arial"/>
        <family val="2"/>
      </rPr>
      <t>k</t>
    </r>
    <r>
      <rPr>
        <sz val="14"/>
        <rFont val="Arial"/>
        <family val="2"/>
      </rPr>
      <t xml:space="preserve"> </t>
    </r>
  </si>
  <si>
    <r>
      <t>W</t>
    </r>
    <r>
      <rPr>
        <vertAlign val="subscript"/>
        <sz val="8"/>
        <rFont val="Arial"/>
        <family val="2"/>
      </rPr>
      <t>LB</t>
    </r>
    <r>
      <rPr>
        <sz val="8"/>
        <rFont val="Arial"/>
        <family val="2"/>
      </rPr>
      <t xml:space="preserve"> = k</t>
    </r>
    <r>
      <rPr>
        <vertAlign val="subscript"/>
        <sz val="8"/>
        <rFont val="Arial"/>
        <family val="2"/>
      </rPr>
      <t>P</t>
    </r>
    <r>
      <rPr>
        <sz val="8"/>
        <rFont val="Arial"/>
        <family val="2"/>
      </rPr>
      <t xml:space="preserve"> * S</t>
    </r>
    <r>
      <rPr>
        <vertAlign val="superscript"/>
        <sz val="8"/>
        <rFont val="Arial"/>
        <family val="2"/>
      </rPr>
      <t>"</t>
    </r>
    <r>
      <rPr>
        <vertAlign val="subscript"/>
        <sz val="8"/>
        <rFont val="Arial"/>
        <family val="2"/>
      </rPr>
      <t>k</t>
    </r>
    <r>
      <rPr>
        <sz val="8"/>
        <rFont val="Arial"/>
        <family val="2"/>
      </rPr>
      <t xml:space="preserve"> * t</t>
    </r>
    <r>
      <rPr>
        <vertAlign val="subscript"/>
        <sz val="8"/>
        <rFont val="Arial"/>
        <family val="2"/>
      </rPr>
      <t>k</t>
    </r>
  </si>
  <si>
    <t xml:space="preserve">Strombegrenzung </t>
  </si>
  <si>
    <t xml:space="preserve">Kennlinie NH-Sicherung </t>
  </si>
  <si>
    <t xml:space="preserve">Bezogene LB-Leistung </t>
  </si>
  <si>
    <t>Genauere Bestimmung mit Elektrodenabstand</t>
  </si>
  <si>
    <t>Rechnung MS-AC</t>
  </si>
  <si>
    <t>3)genauere Bestimmung mit Elektrodenabstand</t>
  </si>
  <si>
    <t>Leistungsschalter bzw. HH-Sicherung</t>
  </si>
  <si>
    <t>Richtwerte für 10-kV- und 20-kV-Schaltanlagen</t>
  </si>
  <si>
    <t>MS-Schaltanlage</t>
  </si>
  <si>
    <t>Dropdownliste Trafo/Schaltanlage</t>
  </si>
  <si>
    <t>Ort:</t>
  </si>
  <si>
    <t>Verknüpfung zur Eingabe</t>
  </si>
  <si>
    <t>1) Richtwerte für 10-kV- und 20-kV-Schaltanlagen</t>
  </si>
  <si>
    <t xml:space="preserve"> Link zu FAQ J</t>
  </si>
  <si>
    <t>Schaltanlage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</si>
</sst>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General\ &quot;...&quot;"/>
    <numFmt numFmtId="165" formatCode="0.0"/>
    <numFmt numFmtId="166" formatCode="0.000"/>
    <numFmt numFmtId="167" formatCode="0\ &quot;mm&quot;"/>
    <numFmt numFmtId="168" formatCode="0.0\ &quot;kA&quot;"/>
    <numFmt numFmtId="169" formatCode="0.000\ &quot;s&quot;"/>
    <numFmt numFmtId="170" formatCode="0.0\ &quot;MVA&quot;"/>
    <numFmt numFmtId="171" formatCode="0.0\ &quot;MW&quot;"/>
    <numFmt numFmtId="172" formatCode="0.0\ &quot;kJ&quot;"/>
    <numFmt numFmtId="173" formatCode="0.00\ &quot;kA&quot;"/>
    <numFmt numFmtId="174" formatCode="0.00\ &quot;MVA&quot;"/>
    <numFmt numFmtId="175" formatCode="0.00\ &quot;MW&quot;"/>
    <numFmt numFmtId="176" formatCode="0.00\ &quot;kJ&quot;"/>
    <numFmt numFmtId="177" formatCode="0.0\ &quot;kV&quot;"/>
  </numFmts>
  <fonts count="5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7"/>
      <color theme="1"/>
      <name val="Times New Roman"/>
      <family val="1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7"/>
      <name val="Times New Roman"/>
      <family val="1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1"/>
      <name val="Segoe UI"/>
      <family val="2"/>
    </font>
    <font>
      <b/>
      <sz val="10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u/>
      <sz val="12"/>
      <color rgb="FF00206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Symbol"/>
      <family val="1"/>
      <charset val="2"/>
    </font>
    <font>
      <sz val="7"/>
      <name val="Times New Roman"/>
      <family val="1"/>
    </font>
    <font>
      <b/>
      <sz val="11"/>
      <color rgb="FF0070C0"/>
      <name val="Calibri"/>
      <family val="2"/>
      <scheme val="minor"/>
    </font>
    <font>
      <b/>
      <sz val="2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rgb="FF0000FF"/>
      <name val="Arial"/>
      <family val="2"/>
    </font>
    <font>
      <vertAlign val="subscript"/>
      <sz val="8"/>
      <name val="Arial"/>
      <family val="2"/>
    </font>
    <font>
      <sz val="18"/>
      <name val="Arial"/>
      <family val="2"/>
    </font>
    <font>
      <sz val="14"/>
      <name val="Arial"/>
      <family val="2"/>
    </font>
    <font>
      <vertAlign val="subscript"/>
      <sz val="14"/>
      <name val="Arial"/>
      <family val="2"/>
    </font>
    <font>
      <vertAlign val="superscript"/>
      <sz val="14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vertAlign val="superscript"/>
      <sz val="8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i/>
      <sz val="12"/>
      <color rgb="FF00B050"/>
      <name val="Calibri"/>
      <family val="2"/>
      <scheme val="minor"/>
    </font>
    <font>
      <b/>
      <vertAlign val="subscript"/>
      <sz val="12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b/>
      <sz val="9"/>
      <color rgb="FFFF0000"/>
      <name val="Arial"/>
      <family val="2"/>
    </font>
    <font>
      <sz val="14"/>
      <color rgb="FFFF0000"/>
      <name val="Arial"/>
      <family val="2"/>
    </font>
    <font>
      <sz val="8"/>
      <color rgb="FFFF0000"/>
      <name val="Arial"/>
      <family val="2"/>
    </font>
    <font>
      <sz val="11"/>
      <color rgb="FFFF0000"/>
      <name val="Calibri"/>
      <family val="2"/>
      <scheme val="minor"/>
    </font>
    <font>
      <sz val="11"/>
      <color rgb="FFFF0000"/>
      <name val="Symbol"/>
      <family val="1"/>
      <charset val="2"/>
    </font>
    <font>
      <sz val="7"/>
      <color rgb="FFFF0000"/>
      <name val="Times New Roman"/>
      <family val="1"/>
    </font>
    <font>
      <sz val="9"/>
      <color indexed="81"/>
      <name val="Segoe UI"/>
      <family val="2"/>
    </font>
    <font>
      <sz val="12"/>
      <color rgb="FFFF0000"/>
      <name val="Calibri"/>
      <family val="2"/>
      <scheme val="minor"/>
    </font>
    <font>
      <u/>
      <sz val="8"/>
      <color theme="4" tint="-0.249977111117893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 diagonalDown="1">
      <left style="thick">
        <color auto="1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ck">
        <color auto="1"/>
      </left>
      <right/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3" fillId="0" borderId="0"/>
    <xf numFmtId="0" fontId="24" fillId="0" borderId="0"/>
  </cellStyleXfs>
  <cellXfs count="335">
    <xf numFmtId="0" fontId="0" fillId="0" borderId="0" xfId="0"/>
    <xf numFmtId="0" fontId="6" fillId="0" borderId="0" xfId="0" applyFont="1" applyAlignment="1">
      <alignment vertical="center"/>
    </xf>
    <xf numFmtId="0" fontId="9" fillId="0" borderId="0" xfId="1" applyAlignment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3" fillId="0" borderId="0" xfId="0" applyFont="1"/>
    <xf numFmtId="0" fontId="3" fillId="2" borderId="0" xfId="0" applyFont="1" applyFill="1"/>
    <xf numFmtId="0" fontId="3" fillId="2" borderId="2" xfId="0" applyFont="1" applyFill="1" applyBorder="1" applyAlignment="1" applyProtection="1">
      <alignment horizontal="center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left" vertical="center"/>
    </xf>
    <xf numFmtId="0" fontId="0" fillId="2" borderId="0" xfId="0" applyFill="1"/>
    <xf numFmtId="0" fontId="10" fillId="0" borderId="1" xfId="0" applyFont="1" applyBorder="1" applyAlignment="1" applyProtection="1">
      <alignment horizontal="left" vertical="top" wrapText="1"/>
      <protection hidden="1"/>
    </xf>
    <xf numFmtId="0" fontId="6" fillId="0" borderId="0" xfId="0" applyFont="1" applyAlignment="1">
      <alignment horizontal="left" vertical="center" inden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left" vertical="center" indent="2"/>
    </xf>
    <xf numFmtId="0" fontId="22" fillId="0" borderId="0" xfId="0" applyFont="1" applyAlignment="1">
      <alignment vertical="center"/>
    </xf>
    <xf numFmtId="0" fontId="6" fillId="0" borderId="0" xfId="0" applyFont="1" applyAlignment="1">
      <alignment horizontal="left" vertical="center" indent="2"/>
    </xf>
    <xf numFmtId="0" fontId="0" fillId="0" borderId="0" xfId="0" applyAlignment="1">
      <alignment horizontal="left" indent="2"/>
    </xf>
    <xf numFmtId="0" fontId="3" fillId="2" borderId="2" xfId="0" applyFont="1" applyFill="1" applyBorder="1" applyAlignment="1" applyProtection="1">
      <alignment horizontal="left"/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23" fillId="5" borderId="1" xfId="0" applyFont="1" applyFill="1" applyBorder="1" applyAlignment="1" applyProtection="1">
      <alignment horizontal="center" vertical="center" wrapText="1"/>
      <protection hidden="1"/>
    </xf>
    <xf numFmtId="0" fontId="23" fillId="2" borderId="1" xfId="0" applyFont="1" applyFill="1" applyBorder="1" applyAlignment="1" applyProtection="1">
      <alignment horizontal="center" vertical="center" wrapText="1"/>
      <protection hidden="1"/>
    </xf>
    <xf numFmtId="0" fontId="23" fillId="4" borderId="1" xfId="0" applyFont="1" applyFill="1" applyBorder="1" applyAlignment="1" applyProtection="1">
      <alignment horizontal="center" vertical="center" wrapText="1"/>
      <protection hidden="1"/>
    </xf>
    <xf numFmtId="0" fontId="13" fillId="0" borderId="0" xfId="2"/>
    <xf numFmtId="0" fontId="30" fillId="0" borderId="30" xfId="2" applyFont="1" applyBorder="1" applyAlignment="1">
      <alignment horizontal="center" vertical="center"/>
    </xf>
    <xf numFmtId="0" fontId="30" fillId="0" borderId="20" xfId="2" applyFont="1" applyBorder="1" applyAlignment="1">
      <alignment vertical="center"/>
    </xf>
    <xf numFmtId="0" fontId="30" fillId="0" borderId="13" xfId="2" applyFont="1" applyBorder="1" applyAlignment="1">
      <alignment vertical="center"/>
    </xf>
    <xf numFmtId="166" fontId="30" fillId="0" borderId="13" xfId="2" applyNumberFormat="1" applyFont="1" applyBorder="1" applyAlignment="1">
      <alignment vertical="center"/>
    </xf>
    <xf numFmtId="0" fontId="30" fillId="0" borderId="23" xfId="2" applyFont="1" applyBorder="1" applyAlignment="1">
      <alignment vertical="center"/>
    </xf>
    <xf numFmtId="0" fontId="25" fillId="0" borderId="50" xfId="2" applyFont="1" applyBorder="1" applyAlignment="1">
      <alignment horizontal="center" vertical="center"/>
    </xf>
    <xf numFmtId="0" fontId="30" fillId="0" borderId="28" xfId="2" applyFont="1" applyBorder="1" applyAlignment="1">
      <alignment horizontal="center" vertical="center"/>
    </xf>
    <xf numFmtId="0" fontId="1" fillId="0" borderId="0" xfId="3" applyFont="1" applyAlignment="1">
      <alignment vertical="center"/>
    </xf>
    <xf numFmtId="0" fontId="24" fillId="0" borderId="0" xfId="3" applyAlignment="1">
      <alignment vertical="center"/>
    </xf>
    <xf numFmtId="0" fontId="6" fillId="0" borderId="0" xfId="2" applyFont="1"/>
    <xf numFmtId="0" fontId="25" fillId="7" borderId="0" xfId="2" applyFont="1" applyFill="1" applyProtection="1">
      <protection locked="0" hidden="1"/>
    </xf>
    <xf numFmtId="2" fontId="25" fillId="7" borderId="0" xfId="2" applyNumberFormat="1" applyFont="1" applyFill="1" applyProtection="1">
      <protection locked="0" hidden="1"/>
    </xf>
    <xf numFmtId="165" fontId="25" fillId="7" borderId="0" xfId="2" applyNumberFormat="1" applyFont="1" applyFill="1" applyProtection="1">
      <protection locked="0" hidden="1"/>
    </xf>
    <xf numFmtId="166" fontId="25" fillId="7" borderId="0" xfId="2" applyNumberFormat="1" applyFont="1" applyFill="1" applyProtection="1">
      <protection locked="0" hidden="1"/>
    </xf>
    <xf numFmtId="0" fontId="10" fillId="0" borderId="1" xfId="0" applyFont="1" applyBorder="1" applyAlignment="1" applyProtection="1">
      <alignment horizontal="left" vertical="center" wrapText="1"/>
      <protection hidden="1"/>
    </xf>
    <xf numFmtId="0" fontId="10" fillId="0" borderId="1" xfId="0" applyFont="1" applyBorder="1" applyAlignment="1" applyProtection="1">
      <alignment horizontal="center" vertical="top" wrapText="1"/>
      <protection hidden="1"/>
    </xf>
    <xf numFmtId="0" fontId="10" fillId="0" borderId="6" xfId="0" applyFont="1" applyBorder="1" applyAlignment="1" applyProtection="1">
      <alignment horizontal="left" vertical="center" wrapText="1"/>
      <protection hidden="1"/>
    </xf>
    <xf numFmtId="165" fontId="15" fillId="0" borderId="8" xfId="0" applyNumberFormat="1" applyFont="1" applyBorder="1" applyAlignment="1" applyProtection="1">
      <alignment horizontal="center" vertical="center"/>
      <protection hidden="1"/>
    </xf>
    <xf numFmtId="0" fontId="25" fillId="10" borderId="0" xfId="2" applyFont="1" applyFill="1" applyProtection="1">
      <protection hidden="1"/>
    </xf>
    <xf numFmtId="0" fontId="13" fillId="10" borderId="0" xfId="2" applyFill="1"/>
    <xf numFmtId="0" fontId="30" fillId="10" borderId="0" xfId="2" applyFont="1" applyFill="1"/>
    <xf numFmtId="0" fontId="30" fillId="10" borderId="0" xfId="2" applyFont="1" applyFill="1" applyAlignment="1">
      <alignment horizontal="center" vertical="center"/>
    </xf>
    <xf numFmtId="167" fontId="30" fillId="10" borderId="0" xfId="2" applyNumberFormat="1" applyFont="1" applyFill="1" applyAlignment="1">
      <alignment horizontal="center" vertical="center"/>
    </xf>
    <xf numFmtId="0" fontId="29" fillId="0" borderId="9" xfId="2" applyFont="1" applyBorder="1" applyAlignment="1">
      <alignment vertical="center"/>
    </xf>
    <xf numFmtId="0" fontId="29" fillId="0" borderId="12" xfId="2" applyFont="1" applyBorder="1" applyAlignment="1">
      <alignment vertical="center"/>
    </xf>
    <xf numFmtId="0" fontId="30" fillId="0" borderId="0" xfId="2" applyFont="1" applyAlignment="1">
      <alignment horizontal="left" vertical="center"/>
    </xf>
    <xf numFmtId="0" fontId="30" fillId="0" borderId="14" xfId="2" applyFont="1" applyBorder="1" applyAlignment="1">
      <alignment horizontal="left" vertical="center"/>
    </xf>
    <xf numFmtId="0" fontId="30" fillId="0" borderId="15" xfId="2" applyFont="1" applyBorder="1" applyAlignment="1">
      <alignment horizontal="center" vertical="center"/>
    </xf>
    <xf numFmtId="0" fontId="30" fillId="0" borderId="13" xfId="2" applyFont="1" applyBorder="1" applyAlignment="1">
      <alignment horizontal="left" vertical="center"/>
    </xf>
    <xf numFmtId="0" fontId="30" fillId="0" borderId="17" xfId="2" applyFont="1" applyBorder="1" applyAlignment="1">
      <alignment horizontal="left" vertical="center"/>
    </xf>
    <xf numFmtId="0" fontId="30" fillId="0" borderId="18" xfId="2" applyFont="1" applyBorder="1" applyAlignment="1">
      <alignment horizontal="center" vertical="center"/>
    </xf>
    <xf numFmtId="0" fontId="30" fillId="0" borderId="6" xfId="2" applyFont="1" applyBorder="1" applyAlignment="1">
      <alignment horizontal="center" vertical="center"/>
    </xf>
    <xf numFmtId="168" fontId="30" fillId="0" borderId="19" xfId="2" applyNumberFormat="1" applyFont="1" applyBorder="1" applyAlignment="1">
      <alignment horizontal="center" vertical="center"/>
    </xf>
    <xf numFmtId="166" fontId="30" fillId="0" borderId="16" xfId="2" applyNumberFormat="1" applyFont="1" applyBorder="1" applyAlignment="1">
      <alignment horizontal="center" vertical="center"/>
    </xf>
    <xf numFmtId="0" fontId="30" fillId="0" borderId="38" xfId="2" applyFont="1" applyBorder="1" applyAlignment="1">
      <alignment horizontal="center" vertical="center"/>
    </xf>
    <xf numFmtId="173" fontId="30" fillId="0" borderId="22" xfId="2" applyNumberFormat="1" applyFont="1" applyBorder="1" applyAlignment="1">
      <alignment horizontal="center" vertical="center"/>
    </xf>
    <xf numFmtId="0" fontId="30" fillId="0" borderId="23" xfId="2" applyFont="1" applyBorder="1" applyAlignment="1">
      <alignment horizontal="left" vertical="center"/>
    </xf>
    <xf numFmtId="0" fontId="30" fillId="0" borderId="26" xfId="2" applyFont="1" applyBorder="1" applyAlignment="1">
      <alignment horizontal="center" vertical="center"/>
    </xf>
    <xf numFmtId="169" fontId="30" fillId="0" borderId="27" xfId="2" applyNumberFormat="1" applyFont="1" applyBorder="1" applyAlignment="1">
      <alignment horizontal="center" vertical="center"/>
    </xf>
    <xf numFmtId="170" fontId="30" fillId="0" borderId="2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left" vertical="center"/>
    </xf>
    <xf numFmtId="171" fontId="30" fillId="0" borderId="29" xfId="2" applyNumberFormat="1" applyFont="1" applyBorder="1" applyAlignment="1">
      <alignment horizontal="center" vertical="center"/>
    </xf>
    <xf numFmtId="0" fontId="30" fillId="0" borderId="31" xfId="2" applyFont="1" applyBorder="1" applyAlignment="1">
      <alignment horizontal="center" vertical="center"/>
    </xf>
    <xf numFmtId="172" fontId="30" fillId="0" borderId="32" xfId="2" applyNumberFormat="1" applyFont="1" applyBorder="1" applyAlignment="1">
      <alignment horizontal="center" vertical="center"/>
    </xf>
    <xf numFmtId="0" fontId="30" fillId="0" borderId="21" xfId="2" applyFont="1" applyBorder="1" applyAlignment="1">
      <alignment horizontal="left" vertical="center"/>
    </xf>
    <xf numFmtId="0" fontId="30" fillId="0" borderId="37" xfId="2" applyFont="1" applyBorder="1" applyAlignment="1">
      <alignment horizontal="center" vertical="center"/>
    </xf>
    <xf numFmtId="172" fontId="30" fillId="0" borderId="19" xfId="2" applyNumberFormat="1" applyFont="1" applyBorder="1" applyAlignment="1">
      <alignment horizontal="center" vertical="center"/>
    </xf>
    <xf numFmtId="0" fontId="30" fillId="0" borderId="24" xfId="2" applyFont="1" applyBorder="1" applyAlignment="1">
      <alignment horizontal="left" vertical="center"/>
    </xf>
    <xf numFmtId="0" fontId="30" fillId="0" borderId="25" xfId="2" applyFont="1" applyBorder="1" applyAlignment="1">
      <alignment horizontal="left" vertical="center"/>
    </xf>
    <xf numFmtId="0" fontId="13" fillId="0" borderId="0" xfId="2" applyAlignment="1">
      <alignment vertical="center"/>
    </xf>
    <xf numFmtId="0" fontId="30" fillId="0" borderId="33" xfId="2" applyFont="1" applyBorder="1" applyAlignment="1">
      <alignment horizontal="center" vertical="center"/>
    </xf>
    <xf numFmtId="165" fontId="30" fillId="0" borderId="16" xfId="2" applyNumberFormat="1" applyFont="1" applyBorder="1" applyAlignment="1">
      <alignment horizontal="center" vertical="center"/>
    </xf>
    <xf numFmtId="0" fontId="13" fillId="0" borderId="25" xfId="2" applyBorder="1" applyAlignment="1">
      <alignment vertical="center"/>
    </xf>
    <xf numFmtId="167" fontId="30" fillId="0" borderId="32" xfId="2" applyNumberFormat="1" applyFont="1" applyBorder="1" applyAlignment="1">
      <alignment horizontal="center" vertical="center"/>
    </xf>
    <xf numFmtId="172" fontId="30" fillId="0" borderId="16" xfId="2" applyNumberFormat="1" applyFont="1" applyBorder="1" applyAlignment="1">
      <alignment horizontal="center" vertical="center"/>
    </xf>
    <xf numFmtId="0" fontId="30" fillId="0" borderId="24" xfId="2" applyFont="1" applyBorder="1" applyAlignment="1">
      <alignment vertical="center" wrapText="1"/>
    </xf>
    <xf numFmtId="0" fontId="30" fillId="0" borderId="34" xfId="2" applyFont="1" applyBorder="1" applyAlignment="1">
      <alignment horizontal="center" vertical="center"/>
    </xf>
    <xf numFmtId="172" fontId="30" fillId="0" borderId="35" xfId="2" applyNumberFormat="1" applyFont="1" applyBorder="1" applyAlignment="1">
      <alignment horizontal="center" vertical="center"/>
    </xf>
    <xf numFmtId="0" fontId="13" fillId="0" borderId="20" xfId="2" applyBorder="1"/>
    <xf numFmtId="0" fontId="13" fillId="0" borderId="21" xfId="2" applyBorder="1"/>
    <xf numFmtId="0" fontId="30" fillId="0" borderId="21" xfId="2" applyFont="1" applyBorder="1"/>
    <xf numFmtId="169" fontId="30" fillId="0" borderId="39" xfId="2" applyNumberFormat="1" applyFont="1" applyBorder="1" applyAlignment="1">
      <alignment horizontal="center" vertical="center"/>
    </xf>
    <xf numFmtId="0" fontId="13" fillId="0" borderId="13" xfId="2" applyBorder="1"/>
    <xf numFmtId="0" fontId="30" fillId="0" borderId="0" xfId="2" applyFont="1"/>
    <xf numFmtId="0" fontId="30" fillId="0" borderId="38" xfId="2" applyFont="1" applyBorder="1" applyAlignment="1">
      <alignment vertical="center"/>
    </xf>
    <xf numFmtId="0" fontId="30" fillId="0" borderId="40" xfId="2" applyFont="1" applyBorder="1" applyAlignment="1">
      <alignment vertical="center"/>
    </xf>
    <xf numFmtId="169" fontId="30" fillId="0" borderId="40" xfId="2" applyNumberFormat="1" applyFont="1" applyBorder="1" applyAlignment="1">
      <alignment horizontal="center" vertical="center"/>
    </xf>
    <xf numFmtId="167" fontId="30" fillId="0" borderId="40" xfId="2" applyNumberFormat="1" applyFont="1" applyBorder="1" applyAlignment="1">
      <alignment horizontal="center" vertical="center"/>
    </xf>
    <xf numFmtId="0" fontId="13" fillId="0" borderId="23" xfId="2" applyBorder="1"/>
    <xf numFmtId="0" fontId="13" fillId="0" borderId="24" xfId="2" applyBorder="1"/>
    <xf numFmtId="0" fontId="30" fillId="0" borderId="24" xfId="2" applyFont="1" applyBorder="1"/>
    <xf numFmtId="167" fontId="30" fillId="0" borderId="41" xfId="2" applyNumberFormat="1" applyFont="1" applyBorder="1" applyAlignment="1">
      <alignment horizontal="center" vertical="center"/>
    </xf>
    <xf numFmtId="0" fontId="30" fillId="0" borderId="20" xfId="2" applyFont="1" applyBorder="1"/>
    <xf numFmtId="2" fontId="30" fillId="0" borderId="16" xfId="2" applyNumberFormat="1" applyFont="1" applyBorder="1" applyAlignment="1">
      <alignment horizontal="center" vertical="center"/>
    </xf>
    <xf numFmtId="0" fontId="30" fillId="0" borderId="13" xfId="2" applyFont="1" applyBorder="1"/>
    <xf numFmtId="2" fontId="30" fillId="0" borderId="22" xfId="2" applyNumberFormat="1" applyFont="1" applyBorder="1" applyAlignment="1">
      <alignment horizontal="center" vertical="center"/>
    </xf>
    <xf numFmtId="2" fontId="30" fillId="0" borderId="32" xfId="2" applyNumberFormat="1" applyFont="1" applyBorder="1" applyAlignment="1">
      <alignment horizontal="center" vertical="center"/>
    </xf>
    <xf numFmtId="0" fontId="30" fillId="0" borderId="21" xfId="2" applyFont="1" applyBorder="1" applyAlignment="1">
      <alignment vertical="center"/>
    </xf>
    <xf numFmtId="0" fontId="13" fillId="0" borderId="14" xfId="2" applyBorder="1"/>
    <xf numFmtId="0" fontId="30" fillId="0" borderId="0" xfId="2" applyFont="1" applyAlignment="1">
      <alignment vertical="center"/>
    </xf>
    <xf numFmtId="0" fontId="13" fillId="0" borderId="17" xfId="2" applyBorder="1"/>
    <xf numFmtId="0" fontId="30" fillId="0" borderId="24" xfId="2" applyFont="1" applyBorder="1" applyAlignment="1">
      <alignment vertical="center"/>
    </xf>
    <xf numFmtId="0" fontId="13" fillId="0" borderId="25" xfId="2" applyBorder="1"/>
    <xf numFmtId="0" fontId="2" fillId="0" borderId="52" xfId="0" applyFont="1" applyBorder="1" applyAlignment="1" applyProtection="1">
      <alignment horizontal="left"/>
      <protection hidden="1"/>
    </xf>
    <xf numFmtId="0" fontId="2" fillId="0" borderId="56" xfId="0" applyFont="1" applyBorder="1" applyAlignment="1" applyProtection="1">
      <alignment horizontal="left"/>
      <protection hidden="1"/>
    </xf>
    <xf numFmtId="0" fontId="0" fillId="0" borderId="56" xfId="0" applyBorder="1" applyProtection="1">
      <protection hidden="1"/>
    </xf>
    <xf numFmtId="0" fontId="0" fillId="0" borderId="56" xfId="0" applyBorder="1" applyAlignment="1" applyProtection="1">
      <alignment horizontal="center"/>
      <protection hidden="1"/>
    </xf>
    <xf numFmtId="0" fontId="2" fillId="0" borderId="57" xfId="0" applyFont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57" xfId="0" applyBorder="1" applyProtection="1">
      <protection hidden="1"/>
    </xf>
    <xf numFmtId="16" fontId="3" fillId="0" borderId="0" xfId="0" applyNumberFormat="1" applyFont="1" applyAlignment="1" applyProtection="1">
      <alignment horizontal="center"/>
      <protection hidden="1"/>
    </xf>
    <xf numFmtId="0" fontId="0" fillId="0" borderId="58" xfId="0" applyBorder="1" applyProtection="1">
      <protection hidden="1"/>
    </xf>
    <xf numFmtId="0" fontId="12" fillId="3" borderId="0" xfId="0" applyFont="1" applyFill="1" applyAlignment="1" applyProtection="1">
      <alignment horizontal="right" vertical="center" wrapText="1"/>
      <protection hidden="1"/>
    </xf>
    <xf numFmtId="14" fontId="12" fillId="9" borderId="0" xfId="0" applyNumberFormat="1" applyFont="1" applyFill="1" applyAlignment="1" applyProtection="1">
      <alignment horizontal="center" vertical="center" wrapText="1"/>
      <protection locked="0" hidden="1"/>
    </xf>
    <xf numFmtId="14" fontId="3" fillId="3" borderId="0" xfId="0" applyNumberFormat="1" applyFont="1" applyFill="1" applyAlignment="1" applyProtection="1">
      <alignment vertical="center" wrapText="1"/>
      <protection hidden="1"/>
    </xf>
    <xf numFmtId="0" fontId="3" fillId="0" borderId="0" xfId="0" applyFont="1" applyProtection="1">
      <protection hidden="1"/>
    </xf>
    <xf numFmtId="0" fontId="3" fillId="0" borderId="57" xfId="0" applyFont="1" applyBorder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58" xfId="0" applyFont="1" applyBorder="1" applyProtection="1">
      <protection hidden="1"/>
    </xf>
    <xf numFmtId="0" fontId="18" fillId="0" borderId="57" xfId="1" applyFont="1" applyBorder="1" applyAlignment="1" applyProtection="1">
      <alignment horizontal="left"/>
      <protection hidden="1"/>
    </xf>
    <xf numFmtId="0" fontId="18" fillId="0" borderId="0" xfId="1" applyFont="1" applyBorder="1" applyAlignment="1" applyProtection="1">
      <alignment horizontal="left"/>
      <protection hidden="1"/>
    </xf>
    <xf numFmtId="0" fontId="11" fillId="0" borderId="0" xfId="1" applyFont="1" applyBorder="1" applyAlignment="1" applyProtection="1">
      <protection hidden="1"/>
    </xf>
    <xf numFmtId="0" fontId="11" fillId="0" borderId="57" xfId="1" applyFont="1" applyBorder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18" fillId="0" borderId="57" xfId="1" applyFont="1" applyBorder="1" applyAlignment="1" applyProtection="1">
      <protection hidden="1"/>
    </xf>
    <xf numFmtId="0" fontId="18" fillId="0" borderId="0" xfId="1" applyFont="1" applyBorder="1" applyAlignment="1" applyProtection="1">
      <protection hidden="1"/>
    </xf>
    <xf numFmtId="0" fontId="3" fillId="0" borderId="57" xfId="0" applyFont="1" applyBorder="1" applyAlignment="1" applyProtection="1">
      <alignment horizontal="left" vertical="center"/>
      <protection hidden="1"/>
    </xf>
    <xf numFmtId="0" fontId="17" fillId="0" borderId="57" xfId="0" applyFont="1" applyBorder="1" applyProtection="1">
      <protection hidden="1"/>
    </xf>
    <xf numFmtId="0" fontId="15" fillId="0" borderId="60" xfId="0" applyFont="1" applyBorder="1" applyAlignment="1" applyProtection="1">
      <alignment horizontal="left" vertical="center"/>
      <protection hidden="1"/>
    </xf>
    <xf numFmtId="0" fontId="37" fillId="0" borderId="0" xfId="0" applyFont="1" applyProtection="1">
      <protection hidden="1"/>
    </xf>
    <xf numFmtId="0" fontId="15" fillId="0" borderId="54" xfId="0" applyFont="1" applyBorder="1" applyAlignment="1" applyProtection="1">
      <alignment horizontal="left" vertical="center"/>
      <protection hidden="1"/>
    </xf>
    <xf numFmtId="165" fontId="15" fillId="0" borderId="62" xfId="0" applyNumberFormat="1" applyFont="1" applyBorder="1" applyAlignment="1" applyProtection="1">
      <alignment horizontal="center" vertical="center"/>
      <protection hidden="1"/>
    </xf>
    <xf numFmtId="0" fontId="37" fillId="0" borderId="63" xfId="0" applyFont="1" applyBorder="1" applyProtection="1">
      <protection hidden="1"/>
    </xf>
    <xf numFmtId="0" fontId="3" fillId="0" borderId="63" xfId="0" applyFont="1" applyBorder="1" applyProtection="1">
      <protection hidden="1"/>
    </xf>
    <xf numFmtId="0" fontId="3" fillId="0" borderId="55" xfId="0" applyFont="1" applyBorder="1" applyProtection="1">
      <protection hidden="1"/>
    </xf>
    <xf numFmtId="0" fontId="0" fillId="10" borderId="0" xfId="0" applyFill="1" applyProtection="1">
      <protection hidden="1"/>
    </xf>
    <xf numFmtId="0" fontId="1" fillId="10" borderId="0" xfId="0" applyFont="1" applyFill="1" applyAlignment="1" applyProtection="1">
      <alignment horizontal="left"/>
      <protection hidden="1"/>
    </xf>
    <xf numFmtId="0" fontId="0" fillId="10" borderId="0" xfId="0" applyFill="1" applyAlignment="1" applyProtection="1">
      <alignment horizontal="center"/>
      <protection hidden="1"/>
    </xf>
    <xf numFmtId="0" fontId="3" fillId="10" borderId="0" xfId="0" applyFont="1" applyFill="1" applyProtection="1">
      <protection hidden="1"/>
    </xf>
    <xf numFmtId="0" fontId="3" fillId="10" borderId="0" xfId="0" applyFont="1" applyFill="1" applyAlignment="1" applyProtection="1">
      <alignment horizontal="left" vertical="center"/>
      <protection hidden="1"/>
    </xf>
    <xf numFmtId="0" fontId="3" fillId="10" borderId="0" xfId="0" applyFont="1" applyFill="1" applyAlignment="1" applyProtection="1">
      <alignment horizontal="center"/>
      <protection hidden="1"/>
    </xf>
    <xf numFmtId="0" fontId="17" fillId="10" borderId="0" xfId="0" applyFont="1" applyFill="1" applyProtection="1">
      <protection hidden="1"/>
    </xf>
    <xf numFmtId="0" fontId="25" fillId="10" borderId="0" xfId="2" applyFont="1" applyFill="1"/>
    <xf numFmtId="0" fontId="25" fillId="10" borderId="0" xfId="2" applyFont="1" applyFill="1" applyAlignment="1">
      <alignment vertical="center"/>
    </xf>
    <xf numFmtId="0" fontId="25" fillId="0" borderId="20" xfId="2" applyFont="1" applyBorder="1" applyAlignment="1">
      <alignment vertical="center"/>
    </xf>
    <xf numFmtId="0" fontId="25" fillId="0" borderId="43" xfId="2" applyFont="1" applyBorder="1" applyAlignment="1">
      <alignment vertical="center"/>
    </xf>
    <xf numFmtId="0" fontId="25" fillId="0" borderId="13" xfId="2" applyFont="1" applyBorder="1" applyAlignment="1">
      <alignment vertical="center"/>
    </xf>
    <xf numFmtId="0" fontId="25" fillId="0" borderId="44" xfId="2" applyFont="1" applyBorder="1" applyAlignment="1">
      <alignment vertical="center"/>
    </xf>
    <xf numFmtId="0" fontId="25" fillId="0" borderId="0" xfId="2" applyFont="1" applyAlignment="1">
      <alignment vertical="center"/>
    </xf>
    <xf numFmtId="0" fontId="25" fillId="0" borderId="17" xfId="2" applyFont="1" applyBorder="1" applyAlignment="1">
      <alignment vertical="center"/>
    </xf>
    <xf numFmtId="0" fontId="25" fillId="0" borderId="45" xfId="2" applyFont="1" applyBorder="1" applyAlignment="1">
      <alignment vertical="center"/>
    </xf>
    <xf numFmtId="0" fontId="25" fillId="0" borderId="36" xfId="2" applyFont="1" applyBorder="1" applyAlignment="1">
      <alignment vertical="center"/>
    </xf>
    <xf numFmtId="0" fontId="25" fillId="0" borderId="46" xfId="2" applyFont="1" applyBorder="1" applyAlignment="1">
      <alignment vertical="center"/>
    </xf>
    <xf numFmtId="0" fontId="25" fillId="0" borderId="47" xfId="2" applyFont="1" applyBorder="1" applyAlignment="1">
      <alignment vertical="center"/>
    </xf>
    <xf numFmtId="14" fontId="25" fillId="0" borderId="0" xfId="2" applyNumberFormat="1" applyFont="1" applyAlignment="1">
      <alignment horizontal="left" vertical="center"/>
    </xf>
    <xf numFmtId="0" fontId="25" fillId="0" borderId="23" xfId="2" applyFont="1" applyBorder="1" applyAlignment="1">
      <alignment vertical="center"/>
    </xf>
    <xf numFmtId="0" fontId="25" fillId="0" borderId="24" xfId="2" applyFont="1" applyBorder="1" applyAlignment="1">
      <alignment vertical="center"/>
    </xf>
    <xf numFmtId="0" fontId="25" fillId="0" borderId="25" xfId="2" applyFont="1" applyBorder="1" applyAlignment="1">
      <alignment vertical="center"/>
    </xf>
    <xf numFmtId="0" fontId="25" fillId="0" borderId="48" xfId="2" applyFont="1" applyBorder="1" applyAlignment="1">
      <alignment horizontal="center" vertical="center"/>
    </xf>
    <xf numFmtId="0" fontId="25" fillId="0" borderId="11" xfId="2" applyFont="1" applyBorder="1" applyAlignment="1">
      <alignment horizontal="center" vertical="center"/>
    </xf>
    <xf numFmtId="0" fontId="25" fillId="0" borderId="0" xfId="2" applyFont="1" applyAlignment="1">
      <alignment horizontal="left" vertical="center"/>
    </xf>
    <xf numFmtId="0" fontId="25" fillId="0" borderId="21" xfId="2" applyFont="1" applyBorder="1" applyAlignment="1">
      <alignment horizontal="left" vertical="center"/>
    </xf>
    <xf numFmtId="0" fontId="25" fillId="0" borderId="49" xfId="2" applyFont="1" applyBorder="1" applyAlignment="1">
      <alignment horizontal="center" vertical="center"/>
    </xf>
    <xf numFmtId="0" fontId="25" fillId="0" borderId="3" xfId="2" applyFont="1" applyBorder="1" applyAlignment="1">
      <alignment horizontal="center" vertical="center"/>
    </xf>
    <xf numFmtId="173" fontId="25" fillId="0" borderId="16" xfId="2" applyNumberFormat="1" applyFont="1" applyBorder="1" applyAlignment="1">
      <alignment horizontal="center" vertical="center"/>
    </xf>
    <xf numFmtId="0" fontId="25" fillId="0" borderId="4" xfId="2" applyFont="1" applyBorder="1" applyAlignment="1">
      <alignment horizontal="center" vertical="center"/>
    </xf>
    <xf numFmtId="173" fontId="25" fillId="0" borderId="19" xfId="2" applyNumberFormat="1" applyFont="1" applyBorder="1" applyAlignment="1">
      <alignment horizontal="center" vertical="center"/>
    </xf>
    <xf numFmtId="166" fontId="25" fillId="0" borderId="29" xfId="2" applyNumberFormat="1" applyFont="1" applyBorder="1" applyAlignment="1">
      <alignment horizontal="center" vertical="center"/>
    </xf>
    <xf numFmtId="0" fontId="25" fillId="0" borderId="9" xfId="2" applyFont="1" applyBorder="1" applyAlignment="1">
      <alignment horizontal="left" vertical="center"/>
    </xf>
    <xf numFmtId="0" fontId="25" fillId="0" borderId="10" xfId="2" applyFont="1" applyBorder="1" applyAlignment="1">
      <alignment horizontal="left" vertical="center"/>
    </xf>
    <xf numFmtId="173" fontId="25" fillId="0" borderId="29" xfId="2" applyNumberFormat="1" applyFont="1" applyBorder="1" applyAlignment="1">
      <alignment horizontal="center" vertical="center"/>
    </xf>
    <xf numFmtId="169" fontId="25" fillId="0" borderId="27" xfId="2" applyNumberFormat="1" applyFont="1" applyBorder="1" applyAlignment="1">
      <alignment horizontal="center" vertical="center"/>
    </xf>
    <xf numFmtId="174" fontId="25" fillId="0" borderId="29" xfId="2" applyNumberFormat="1" applyFont="1" applyBorder="1" applyAlignment="1">
      <alignment horizontal="center" vertical="center"/>
    </xf>
    <xf numFmtId="166" fontId="25" fillId="0" borderId="27" xfId="2" applyNumberFormat="1" applyFont="1" applyBorder="1" applyAlignment="1">
      <alignment horizontal="center" vertical="center"/>
    </xf>
    <xf numFmtId="175" fontId="25" fillId="0" borderId="29" xfId="2" applyNumberFormat="1" applyFont="1" applyBorder="1" applyAlignment="1">
      <alignment horizontal="center" vertical="center"/>
    </xf>
    <xf numFmtId="0" fontId="25" fillId="0" borderId="51" xfId="2" applyFont="1" applyBorder="1" applyAlignment="1">
      <alignment horizontal="center" vertical="center"/>
    </xf>
    <xf numFmtId="176" fontId="25" fillId="0" borderId="32" xfId="2" applyNumberFormat="1" applyFont="1" applyBorder="1" applyAlignment="1">
      <alignment horizontal="center" vertical="center"/>
    </xf>
    <xf numFmtId="0" fontId="25" fillId="0" borderId="24" xfId="2" applyFont="1" applyBorder="1" applyAlignment="1">
      <alignment horizontal="left" vertical="center"/>
    </xf>
    <xf numFmtId="167" fontId="25" fillId="0" borderId="35" xfId="2" applyNumberFormat="1" applyFont="1" applyBorder="1" applyAlignment="1">
      <alignment horizontal="center" vertical="center"/>
    </xf>
    <xf numFmtId="172" fontId="25" fillId="0" borderId="19" xfId="2" applyNumberFormat="1" applyFont="1" applyBorder="1" applyAlignment="1">
      <alignment horizontal="center" vertical="center"/>
    </xf>
    <xf numFmtId="172" fontId="25" fillId="0" borderId="32" xfId="2" applyNumberFormat="1" applyFont="1" applyBorder="1" applyAlignment="1">
      <alignment horizontal="center" vertical="center"/>
    </xf>
    <xf numFmtId="0" fontId="25" fillId="0" borderId="10" xfId="2" applyFont="1" applyBorder="1" applyAlignment="1">
      <alignment vertical="center"/>
    </xf>
    <xf numFmtId="2" fontId="25" fillId="0" borderId="29" xfId="2" applyNumberFormat="1" applyFont="1" applyBorder="1" applyAlignment="1">
      <alignment horizontal="center" vertical="center"/>
    </xf>
    <xf numFmtId="0" fontId="25" fillId="0" borderId="42" xfId="2" applyFont="1" applyBorder="1" applyAlignment="1">
      <alignment horizontal="left" vertical="center"/>
    </xf>
    <xf numFmtId="0" fontId="25" fillId="0" borderId="24" xfId="2" applyFont="1" applyBorder="1" applyAlignment="1">
      <alignment vertical="center" wrapText="1"/>
    </xf>
    <xf numFmtId="0" fontId="25" fillId="0" borderId="21" xfId="2" applyFont="1" applyBorder="1" applyAlignment="1">
      <alignment vertical="center"/>
    </xf>
    <xf numFmtId="0" fontId="25" fillId="0" borderId="16" xfId="2" applyFont="1" applyBorder="1" applyAlignment="1">
      <alignment horizontal="center" vertical="center"/>
    </xf>
    <xf numFmtId="0" fontId="25" fillId="0" borderId="32" xfId="2" applyFont="1" applyBorder="1" applyAlignment="1">
      <alignment horizontal="center" vertical="center"/>
    </xf>
    <xf numFmtId="0" fontId="36" fillId="0" borderId="9" xfId="2" applyFont="1" applyBorder="1" applyAlignment="1">
      <alignment vertical="center"/>
    </xf>
    <xf numFmtId="164" fontId="15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5" fillId="10" borderId="0" xfId="2" applyFont="1" applyFill="1" applyAlignment="1" applyProtection="1">
      <alignment vertical="top"/>
      <protection hidden="1"/>
    </xf>
    <xf numFmtId="0" fontId="0" fillId="10" borderId="0" xfId="0" applyFill="1" applyAlignment="1" applyProtection="1">
      <alignment horizontal="left"/>
      <protection hidden="1"/>
    </xf>
    <xf numFmtId="0" fontId="25" fillId="10" borderId="0" xfId="2" applyFont="1" applyFill="1" applyAlignment="1" applyProtection="1">
      <alignment horizontal="left"/>
      <protection hidden="1"/>
    </xf>
    <xf numFmtId="0" fontId="0" fillId="10" borderId="0" xfId="0" applyFill="1" applyAlignment="1" applyProtection="1">
      <alignment horizontal="left" vertical="top" wrapText="1"/>
      <protection hidden="1"/>
    </xf>
    <xf numFmtId="0" fontId="26" fillId="10" borderId="0" xfId="2" applyFont="1" applyFill="1" applyProtection="1">
      <protection hidden="1"/>
    </xf>
    <xf numFmtId="0" fontId="27" fillId="10" borderId="0" xfId="2" applyFont="1" applyFill="1" applyProtection="1">
      <protection hidden="1"/>
    </xf>
    <xf numFmtId="0" fontId="25" fillId="10" borderId="0" xfId="2" applyFont="1" applyFill="1" applyAlignment="1" applyProtection="1">
      <alignment horizontal="right"/>
      <protection hidden="1"/>
    </xf>
    <xf numFmtId="0" fontId="25" fillId="10" borderId="0" xfId="2" applyFont="1" applyFill="1" applyAlignment="1" applyProtection="1">
      <alignment wrapText="1"/>
      <protection hidden="1"/>
    </xf>
    <xf numFmtId="0" fontId="9" fillId="10" borderId="0" xfId="1" applyFill="1" applyBorder="1" applyProtection="1">
      <protection hidden="1"/>
    </xf>
    <xf numFmtId="0" fontId="25" fillId="0" borderId="0" xfId="2" applyFont="1"/>
    <xf numFmtId="0" fontId="38" fillId="10" borderId="0" xfId="0" applyFont="1" applyFill="1" applyAlignment="1" applyProtection="1">
      <alignment horizontal="center" vertical="center"/>
      <protection hidden="1"/>
    </xf>
    <xf numFmtId="0" fontId="24" fillId="0" borderId="0" xfId="3" applyAlignment="1">
      <alignment horizontal="right" vertical="center"/>
    </xf>
    <xf numFmtId="0" fontId="42" fillId="0" borderId="0" xfId="3" applyFont="1"/>
    <xf numFmtId="1" fontId="42" fillId="0" borderId="0" xfId="3" applyNumberFormat="1" applyFont="1"/>
    <xf numFmtId="177" fontId="30" fillId="0" borderId="16" xfId="2" applyNumberFormat="1" applyFont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4" fillId="0" borderId="0" xfId="2" applyFont="1"/>
    <xf numFmtId="0" fontId="6" fillId="0" borderId="0" xfId="2" applyFont="1" applyAlignment="1">
      <alignment horizontal="right"/>
    </xf>
    <xf numFmtId="0" fontId="7" fillId="0" borderId="0" xfId="2" applyFont="1"/>
    <xf numFmtId="2" fontId="1" fillId="0" borderId="0" xfId="3" applyNumberFormat="1" applyFont="1"/>
    <xf numFmtId="0" fontId="1" fillId="0" borderId="46" xfId="3" applyFont="1" applyBorder="1" applyAlignment="1">
      <alignment vertical="center"/>
    </xf>
    <xf numFmtId="177" fontId="25" fillId="0" borderId="16" xfId="2" applyNumberFormat="1" applyFont="1" applyBorder="1" applyAlignment="1">
      <alignment horizontal="center" vertical="center"/>
    </xf>
    <xf numFmtId="0" fontId="9" fillId="10" borderId="0" xfId="1" applyFill="1" applyAlignment="1">
      <alignment horizontal="left" vertical="top"/>
    </xf>
    <xf numFmtId="0" fontId="29" fillId="0" borderId="9" xfId="2" applyFont="1" applyBorder="1" applyAlignment="1">
      <alignment horizontal="left" vertical="center"/>
    </xf>
    <xf numFmtId="0" fontId="29" fillId="0" borderId="10" xfId="2" applyFont="1" applyBorder="1" applyAlignment="1">
      <alignment horizontal="left" vertical="center"/>
    </xf>
    <xf numFmtId="0" fontId="29" fillId="0" borderId="11" xfId="2" applyFont="1" applyBorder="1" applyAlignment="1">
      <alignment horizontal="left" vertical="center"/>
    </xf>
    <xf numFmtId="0" fontId="6" fillId="0" borderId="0" xfId="2" applyFont="1" applyProtection="1">
      <protection locked="0"/>
    </xf>
    <xf numFmtId="0" fontId="25" fillId="10" borderId="0" xfId="2" applyFont="1" applyFill="1" applyAlignment="1" applyProtection="1">
      <alignment horizontal="center"/>
      <protection hidden="1"/>
    </xf>
    <xf numFmtId="166" fontId="30" fillId="0" borderId="27" xfId="2" applyNumberFormat="1" applyFont="1" applyBorder="1" applyAlignment="1">
      <alignment horizontal="center" vertical="center"/>
    </xf>
    <xf numFmtId="0" fontId="49" fillId="0" borderId="0" xfId="0" applyFont="1" applyAlignment="1">
      <alignment horizontal="left" vertical="center" indent="2"/>
    </xf>
    <xf numFmtId="0" fontId="48" fillId="0" borderId="0" xfId="0" applyFont="1"/>
    <xf numFmtId="0" fontId="48" fillId="0" borderId="0" xfId="0" applyFont="1" applyAlignment="1">
      <alignment horizontal="left"/>
    </xf>
    <xf numFmtId="0" fontId="48" fillId="0" borderId="0" xfId="0" applyFont="1" applyAlignment="1">
      <alignment horizontal="left" vertical="center" indent="2"/>
    </xf>
    <xf numFmtId="0" fontId="25" fillId="11" borderId="0" xfId="2" applyFont="1" applyFill="1" applyProtection="1">
      <protection locked="0"/>
    </xf>
    <xf numFmtId="0" fontId="53" fillId="10" borderId="0" xfId="1" applyFont="1" applyFill="1" applyProtection="1">
      <protection locked="0" hidden="1"/>
    </xf>
    <xf numFmtId="0" fontId="38" fillId="10" borderId="52" xfId="0" applyFont="1" applyFill="1" applyBorder="1" applyAlignment="1" applyProtection="1">
      <alignment horizontal="center" vertical="center"/>
      <protection hidden="1"/>
    </xf>
    <xf numFmtId="0" fontId="38" fillId="10" borderId="53" xfId="0" applyFont="1" applyFill="1" applyBorder="1" applyAlignment="1">
      <alignment horizontal="center" vertical="center"/>
    </xf>
    <xf numFmtId="0" fontId="38" fillId="10" borderId="54" xfId="0" applyFont="1" applyFill="1" applyBorder="1" applyAlignment="1">
      <alignment horizontal="center" vertical="center"/>
    </xf>
    <xf numFmtId="0" fontId="38" fillId="10" borderId="55" xfId="0" applyFont="1" applyFill="1" applyBorder="1" applyAlignment="1">
      <alignment horizontal="center" vertical="center"/>
    </xf>
    <xf numFmtId="0" fontId="25" fillId="7" borderId="0" xfId="2" applyFont="1" applyFill="1" applyAlignment="1" applyProtection="1">
      <alignment horizontal="left" vertical="top"/>
      <protection locked="0" hidden="1"/>
    </xf>
    <xf numFmtId="0" fontId="0" fillId="0" borderId="0" xfId="0" applyAlignment="1" applyProtection="1">
      <alignment horizontal="left"/>
      <protection locked="0" hidden="1"/>
    </xf>
    <xf numFmtId="0" fontId="25" fillId="10" borderId="0" xfId="2" applyFont="1" applyFill="1" applyAlignment="1" applyProtection="1">
      <alignment horizontal="left" vertical="top" wrapText="1"/>
      <protection hidden="1"/>
    </xf>
    <xf numFmtId="0" fontId="25" fillId="7" borderId="0" xfId="2" applyFont="1" applyFill="1" applyAlignment="1" applyProtection="1">
      <alignment horizontal="left" vertical="top" wrapText="1"/>
      <protection locked="0" hidden="1"/>
    </xf>
    <xf numFmtId="0" fontId="26" fillId="10" borderId="0" xfId="2" applyFont="1" applyFill="1" applyAlignment="1" applyProtection="1">
      <alignment horizontal="center" vertical="center" wrapText="1"/>
      <protection hidden="1"/>
    </xf>
    <xf numFmtId="0" fontId="9" fillId="10" borderId="0" xfId="1" applyFill="1" applyBorder="1" applyAlignment="1" applyProtection="1">
      <alignment horizontal="center" vertical="center" wrapText="1"/>
    </xf>
    <xf numFmtId="0" fontId="47" fillId="7" borderId="0" xfId="2" applyFont="1" applyFill="1" applyAlignment="1" applyProtection="1">
      <alignment horizontal="left"/>
      <protection locked="0" hidden="1"/>
    </xf>
    <xf numFmtId="0" fontId="25" fillId="10" borderId="0" xfId="2" applyFont="1" applyFill="1" applyAlignment="1" applyProtection="1">
      <alignment horizontal="left"/>
      <protection hidden="1"/>
    </xf>
    <xf numFmtId="0" fontId="25" fillId="11" borderId="0" xfId="2" applyFont="1" applyFill="1" applyAlignment="1" applyProtection="1">
      <alignment horizontal="left" vertical="top" wrapText="1"/>
      <protection locked="0" hidden="1"/>
    </xf>
    <xf numFmtId="0" fontId="0" fillId="7" borderId="0" xfId="0" applyFill="1" applyAlignment="1" applyProtection="1">
      <alignment horizontal="left" vertical="top" wrapText="1"/>
      <protection locked="0" hidden="1"/>
    </xf>
    <xf numFmtId="14" fontId="25" fillId="7" borderId="0" xfId="2" applyNumberFormat="1" applyFont="1" applyFill="1" applyAlignment="1" applyProtection="1">
      <alignment horizontal="center" vertical="top"/>
      <protection locked="0" hidden="1"/>
    </xf>
    <xf numFmtId="0" fontId="25" fillId="10" borderId="0" xfId="2" applyFont="1" applyFill="1" applyAlignment="1" applyProtection="1">
      <alignment textRotation="135"/>
      <protection hidden="1"/>
    </xf>
    <xf numFmtId="0" fontId="25" fillId="7" borderId="0" xfId="2" applyFont="1" applyFill="1" applyAlignment="1" applyProtection="1">
      <alignment horizontal="left" vertical="top" wrapText="1"/>
      <protection locked="0"/>
    </xf>
    <xf numFmtId="0" fontId="26" fillId="7" borderId="0" xfId="2" applyFont="1" applyFill="1" applyAlignment="1" applyProtection="1">
      <alignment horizontal="left" vertical="top" wrapText="1"/>
      <protection locked="0"/>
    </xf>
    <xf numFmtId="0" fontId="1" fillId="7" borderId="0" xfId="0" applyFont="1" applyFill="1" applyAlignment="1" applyProtection="1">
      <alignment horizontal="left" vertical="top" wrapText="1"/>
      <protection locked="0"/>
    </xf>
    <xf numFmtId="0" fontId="45" fillId="10" borderId="0" xfId="2" applyFont="1" applyFill="1" applyAlignment="1" applyProtection="1">
      <alignment horizontal="left" vertical="top" wrapText="1"/>
      <protection hidden="1"/>
    </xf>
    <xf numFmtId="0" fontId="30" fillId="0" borderId="24" xfId="2" applyFont="1" applyBorder="1" applyAlignment="1">
      <alignment horizontal="left" vertical="center"/>
    </xf>
    <xf numFmtId="0" fontId="30" fillId="0" borderId="25" xfId="2" applyFont="1" applyBorder="1" applyAlignment="1">
      <alignment horizontal="left" vertical="center"/>
    </xf>
    <xf numFmtId="0" fontId="30" fillId="0" borderId="20" xfId="2" applyFont="1" applyBorder="1" applyAlignment="1">
      <alignment horizontal="left" vertical="center" wrapText="1"/>
    </xf>
    <xf numFmtId="0" fontId="30" fillId="0" borderId="23" xfId="2" applyFont="1" applyBorder="1" applyAlignment="1">
      <alignment horizontal="left" vertical="center" wrapText="1"/>
    </xf>
    <xf numFmtId="0" fontId="30" fillId="0" borderId="21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0" borderId="0" xfId="2" applyFont="1" applyAlignment="1">
      <alignment horizontal="left" vertical="center"/>
    </xf>
    <xf numFmtId="0" fontId="30" fillId="0" borderId="17" xfId="2" applyFont="1" applyBorder="1" applyAlignment="1">
      <alignment horizontal="left" vertical="center"/>
    </xf>
    <xf numFmtId="0" fontId="30" fillId="0" borderId="24" xfId="2" applyFont="1" applyBorder="1" applyAlignment="1">
      <alignment horizontal="center" vertical="center"/>
    </xf>
    <xf numFmtId="0" fontId="30" fillId="0" borderId="25" xfId="2" applyFont="1" applyBorder="1" applyAlignment="1">
      <alignment horizontal="center" vertical="center"/>
    </xf>
    <xf numFmtId="0" fontId="46" fillId="0" borderId="24" xfId="2" applyFont="1" applyBorder="1" applyAlignment="1">
      <alignment horizontal="left" vertical="center"/>
    </xf>
    <xf numFmtId="0" fontId="46" fillId="0" borderId="25" xfId="2" applyFont="1" applyBorder="1" applyAlignment="1">
      <alignment horizontal="left" vertical="center"/>
    </xf>
    <xf numFmtId="0" fontId="3" fillId="7" borderId="0" xfId="0" applyFont="1" applyFill="1" applyAlignment="1" applyProtection="1">
      <alignment horizontal="center"/>
      <protection locked="0" hidden="1"/>
    </xf>
    <xf numFmtId="0" fontId="18" fillId="0" borderId="0" xfId="0" applyFont="1" applyAlignment="1" applyProtection="1">
      <alignment horizontal="left" vertical="center"/>
      <protection hidden="1"/>
    </xf>
    <xf numFmtId="0" fontId="18" fillId="0" borderId="58" xfId="0" applyFont="1" applyBorder="1" applyAlignment="1" applyProtection="1">
      <alignment horizontal="left" vertical="center"/>
      <protection hidden="1"/>
    </xf>
    <xf numFmtId="0" fontId="12" fillId="3" borderId="57" xfId="0" applyFont="1" applyFill="1" applyBorder="1" applyAlignment="1" applyProtection="1">
      <alignment horizontal="left" vertical="center" wrapText="1"/>
      <protection hidden="1"/>
    </xf>
    <xf numFmtId="0" fontId="12" fillId="3" borderId="0" xfId="0" applyFont="1" applyFill="1" applyAlignment="1" applyProtection="1">
      <alignment horizontal="left" vertical="center" wrapText="1"/>
      <protection hidden="1"/>
    </xf>
    <xf numFmtId="0" fontId="3" fillId="3" borderId="0" xfId="0" applyFont="1" applyFill="1" applyAlignment="1" applyProtection="1">
      <alignment horizontal="left" vertical="center" wrapText="1"/>
      <protection hidden="1"/>
    </xf>
    <xf numFmtId="0" fontId="3" fillId="3" borderId="0" xfId="0" applyFont="1" applyFill="1" applyAlignment="1" applyProtection="1">
      <alignment horizontal="center" vertical="center" wrapText="1"/>
      <protection hidden="1"/>
    </xf>
    <xf numFmtId="0" fontId="3" fillId="3" borderId="58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left" vertical="top" wrapText="1"/>
      <protection hidden="1"/>
    </xf>
    <xf numFmtId="0" fontId="3" fillId="8" borderId="0" xfId="0" applyFont="1" applyFill="1" applyAlignment="1" applyProtection="1">
      <alignment horizontal="left" vertical="top" wrapText="1"/>
      <protection hidden="1"/>
    </xf>
    <xf numFmtId="0" fontId="3" fillId="8" borderId="58" xfId="0" applyFont="1" applyFill="1" applyBorder="1" applyAlignment="1" applyProtection="1">
      <alignment horizontal="left" vertical="top" wrapText="1"/>
      <protection hidden="1"/>
    </xf>
    <xf numFmtId="165" fontId="12" fillId="3" borderId="5" xfId="0" applyNumberFormat="1" applyFont="1" applyFill="1" applyBorder="1" applyAlignment="1" applyProtection="1">
      <alignment horizontal="center"/>
      <protection hidden="1"/>
    </xf>
    <xf numFmtId="165" fontId="12" fillId="3" borderId="6" xfId="0" applyNumberFormat="1" applyFont="1" applyFill="1" applyBorder="1" applyAlignment="1" applyProtection="1">
      <alignment horizontal="center"/>
      <protection hidden="1"/>
    </xf>
    <xf numFmtId="0" fontId="52" fillId="8" borderId="0" xfId="0" applyFont="1" applyFill="1" applyAlignment="1" applyProtection="1">
      <alignment horizontal="left" vertical="top" wrapText="1"/>
      <protection hidden="1"/>
    </xf>
    <xf numFmtId="0" fontId="52" fillId="8" borderId="58" xfId="0" applyFont="1" applyFill="1" applyBorder="1" applyAlignment="1" applyProtection="1">
      <alignment horizontal="left" vertical="top" wrapText="1"/>
      <protection hidden="1"/>
    </xf>
    <xf numFmtId="0" fontId="38" fillId="10" borderId="53" xfId="0" applyFont="1" applyFill="1" applyBorder="1" applyAlignment="1" applyProtection="1">
      <alignment horizontal="center" vertical="center"/>
      <protection hidden="1"/>
    </xf>
    <xf numFmtId="0" fontId="38" fillId="10" borderId="54" xfId="0" applyFont="1" applyFill="1" applyBorder="1" applyAlignment="1" applyProtection="1">
      <alignment horizontal="center" vertical="center"/>
      <protection hidden="1"/>
    </xf>
    <xf numFmtId="0" fontId="38" fillId="10" borderId="55" xfId="0" applyFont="1" applyFill="1" applyBorder="1" applyAlignment="1" applyProtection="1">
      <alignment horizontal="center" vertical="center"/>
      <protection hidden="1"/>
    </xf>
    <xf numFmtId="0" fontId="10" fillId="0" borderId="60" xfId="0" applyFont="1" applyBorder="1" applyAlignment="1" applyProtection="1">
      <alignment horizontal="left" vertical="top" wrapText="1"/>
      <protection hidden="1"/>
    </xf>
    <xf numFmtId="0" fontId="10" fillId="0" borderId="8" xfId="0" applyFont="1" applyBorder="1" applyAlignment="1" applyProtection="1">
      <alignment horizontal="left" vertical="top" wrapText="1"/>
      <protection hidden="1"/>
    </xf>
    <xf numFmtId="0" fontId="3" fillId="8" borderId="0" xfId="0" applyFont="1" applyFill="1" applyAlignment="1" applyProtection="1">
      <alignment horizontal="left" vertical="top" wrapText="1" indent="1"/>
      <protection hidden="1"/>
    </xf>
    <xf numFmtId="0" fontId="0" fillId="0" borderId="0" xfId="0" applyAlignment="1" applyProtection="1">
      <alignment horizontal="left" vertical="top" wrapText="1" indent="1"/>
      <protection hidden="1"/>
    </xf>
    <xf numFmtId="0" fontId="0" fillId="0" borderId="58" xfId="0" applyBorder="1" applyAlignment="1" applyProtection="1">
      <alignment horizontal="left" vertical="top" wrapText="1" indent="1"/>
      <protection hidden="1"/>
    </xf>
    <xf numFmtId="164" fontId="15" fillId="6" borderId="61" xfId="0" applyNumberFormat="1" applyFont="1" applyFill="1" applyBorder="1" applyAlignment="1" applyProtection="1">
      <alignment horizontal="center" vertical="center" wrapText="1"/>
      <protection hidden="1"/>
    </xf>
    <xf numFmtId="164" fontId="15" fillId="6" borderId="1" xfId="0" applyNumberFormat="1" applyFont="1" applyFill="1" applyBorder="1" applyAlignment="1" applyProtection="1">
      <alignment horizontal="center" vertical="center" wrapText="1"/>
      <protection hidden="1"/>
    </xf>
    <xf numFmtId="0" fontId="10" fillId="0" borderId="59" xfId="0" applyFont="1" applyBorder="1" applyAlignment="1" applyProtection="1">
      <alignment horizontal="center" vertical="top" wrapText="1"/>
      <protection hidden="1"/>
    </xf>
    <xf numFmtId="0" fontId="10" fillId="0" borderId="7" xfId="0" applyFont="1" applyBorder="1" applyAlignment="1" applyProtection="1">
      <alignment horizontal="center" vertical="top" wrapText="1"/>
      <protection hidden="1"/>
    </xf>
    <xf numFmtId="0" fontId="38" fillId="10" borderId="64" xfId="0" applyFont="1" applyFill="1" applyBorder="1" applyAlignment="1" applyProtection="1">
      <alignment horizontal="center" vertical="center"/>
      <protection hidden="1"/>
    </xf>
    <xf numFmtId="0" fontId="0" fillId="0" borderId="65" xfId="0" applyBorder="1" applyAlignment="1">
      <alignment horizontal="center" vertical="center"/>
    </xf>
    <xf numFmtId="0" fontId="25" fillId="0" borderId="21" xfId="2" applyFont="1" applyBorder="1" applyAlignment="1">
      <alignment horizontal="left" vertical="center"/>
    </xf>
    <xf numFmtId="0" fontId="25" fillId="0" borderId="42" xfId="2" applyFont="1" applyBorder="1" applyAlignment="1">
      <alignment horizontal="left" vertical="center"/>
    </xf>
    <xf numFmtId="0" fontId="25" fillId="0" borderId="14" xfId="2" applyFont="1" applyBorder="1" applyAlignment="1">
      <alignment horizontal="left" vertical="center"/>
    </xf>
    <xf numFmtId="0" fontId="25" fillId="0" borderId="0" xfId="2" applyFont="1" applyAlignment="1">
      <alignment horizontal="left" vertical="center"/>
    </xf>
    <xf numFmtId="0" fontId="25" fillId="0" borderId="37" xfId="2" applyFont="1" applyBorder="1" applyAlignment="1">
      <alignment horizontal="left" vertical="center"/>
    </xf>
    <xf numFmtId="0" fontId="25" fillId="0" borderId="46" xfId="2" applyFont="1" applyBorder="1" applyAlignment="1">
      <alignment horizontal="left" vertical="center"/>
    </xf>
    <xf numFmtId="0" fontId="25" fillId="0" borderId="18" xfId="2" applyFont="1" applyBorder="1" applyAlignment="1">
      <alignment horizontal="left" vertical="center"/>
    </xf>
    <xf numFmtId="0" fontId="25" fillId="0" borderId="66" xfId="2" applyFont="1" applyBorder="1" applyAlignment="1">
      <alignment horizontal="left" vertical="top" wrapText="1"/>
    </xf>
    <xf numFmtId="0" fontId="25" fillId="0" borderId="8" xfId="2" applyFont="1" applyBorder="1" applyAlignment="1">
      <alignment horizontal="left" vertical="top" wrapText="1"/>
    </xf>
    <xf numFmtId="0" fontId="25" fillId="0" borderId="0" xfId="2" applyFont="1" applyAlignment="1">
      <alignment horizontal="left" vertical="top" wrapText="1"/>
    </xf>
    <xf numFmtId="0" fontId="25" fillId="0" borderId="37" xfId="2" applyFont="1" applyBorder="1" applyAlignment="1">
      <alignment horizontal="left" vertical="top" wrapText="1"/>
    </xf>
    <xf numFmtId="0" fontId="25" fillId="0" borderId="24" xfId="2" applyFont="1" applyBorder="1" applyAlignment="1">
      <alignment horizontal="left" vertical="top" wrapText="1"/>
    </xf>
    <xf numFmtId="0" fontId="25" fillId="0" borderId="34" xfId="2" applyFont="1" applyBorder="1" applyAlignment="1">
      <alignment horizontal="left" vertical="top" wrapText="1"/>
    </xf>
    <xf numFmtId="0" fontId="25" fillId="0" borderId="23" xfId="2" applyFont="1" applyBorder="1" applyAlignment="1">
      <alignment horizontal="left" vertical="center" wrapText="1"/>
    </xf>
    <xf numFmtId="0" fontId="25" fillId="0" borderId="24" xfId="2" applyFont="1" applyBorder="1" applyAlignment="1">
      <alignment horizontal="left" vertical="center" wrapText="1"/>
    </xf>
    <xf numFmtId="0" fontId="25" fillId="0" borderId="10" xfId="2" applyFont="1" applyBorder="1" applyAlignment="1">
      <alignment horizontal="left" vertical="center"/>
    </xf>
    <xf numFmtId="0" fontId="25" fillId="0" borderId="20" xfId="2" applyFont="1" applyBorder="1" applyAlignment="1">
      <alignment horizontal="left" vertical="center"/>
    </xf>
    <xf numFmtId="0" fontId="25" fillId="0" borderId="13" xfId="2" applyFont="1" applyBorder="1" applyAlignment="1">
      <alignment horizontal="left" vertical="center"/>
    </xf>
    <xf numFmtId="0" fontId="25" fillId="0" borderId="9" xfId="2" applyFont="1" applyBorder="1" applyAlignment="1">
      <alignment horizontal="left" vertical="center"/>
    </xf>
    <xf numFmtId="0" fontId="25" fillId="0" borderId="10" xfId="2" applyFont="1" applyBorder="1" applyAlignment="1">
      <alignment horizontal="center" vertical="center"/>
    </xf>
    <xf numFmtId="0" fontId="25" fillId="0" borderId="24" xfId="2" applyFont="1" applyBorder="1" applyAlignment="1">
      <alignment horizontal="left" vertical="center"/>
    </xf>
    <xf numFmtId="0" fontId="47" fillId="0" borderId="24" xfId="2" applyFont="1" applyBorder="1" applyAlignment="1">
      <alignment horizontal="left" vertical="center"/>
    </xf>
    <xf numFmtId="0" fontId="25" fillId="0" borderId="23" xfId="2" applyFont="1" applyBorder="1" applyAlignment="1">
      <alignment horizontal="left" vertical="top"/>
    </xf>
    <xf numFmtId="0" fontId="25" fillId="0" borderId="24" xfId="2" applyFont="1" applyBorder="1" applyAlignment="1">
      <alignment horizontal="left" vertical="top"/>
    </xf>
    <xf numFmtId="0" fontId="25" fillId="0" borderId="25" xfId="2" applyFont="1" applyBorder="1" applyAlignment="1">
      <alignment horizontal="left" vertical="top"/>
    </xf>
    <xf numFmtId="0" fontId="25" fillId="0" borderId="20" xfId="2" applyFont="1" applyBorder="1" applyAlignment="1">
      <alignment horizontal="left" vertical="center" wrapText="1"/>
    </xf>
    <xf numFmtId="0" fontId="25" fillId="0" borderId="21" xfId="2" applyFont="1" applyBorder="1" applyAlignment="1">
      <alignment horizontal="left" vertical="center" wrapText="1"/>
    </xf>
    <xf numFmtId="0" fontId="36" fillId="0" borderId="10" xfId="2" applyFont="1" applyBorder="1" applyAlignment="1">
      <alignment horizontal="left" vertical="center"/>
    </xf>
    <xf numFmtId="0" fontId="36" fillId="0" borderId="11" xfId="2" applyFont="1" applyBorder="1" applyAlignment="1">
      <alignment horizontal="left" vertical="center"/>
    </xf>
    <xf numFmtId="0" fontId="25" fillId="0" borderId="13" xfId="2" applyFont="1" applyBorder="1" applyAlignment="1">
      <alignment horizontal="left" vertical="top"/>
    </xf>
    <xf numFmtId="0" fontId="25" fillId="0" borderId="0" xfId="2" applyFont="1" applyAlignment="1">
      <alignment horizontal="left" vertical="top"/>
    </xf>
    <xf numFmtId="0" fontId="25" fillId="0" borderId="17" xfId="2" applyFont="1" applyBorder="1" applyAlignment="1">
      <alignment horizontal="left" vertical="top"/>
    </xf>
    <xf numFmtId="0" fontId="25" fillId="0" borderId="45" xfId="2" applyFont="1" applyBorder="1" applyAlignment="1">
      <alignment horizontal="left" vertical="top"/>
    </xf>
    <xf numFmtId="0" fontId="25" fillId="0" borderId="46" xfId="2" applyFont="1" applyBorder="1" applyAlignment="1">
      <alignment horizontal="left" vertical="top"/>
    </xf>
    <xf numFmtId="0" fontId="25" fillId="0" borderId="47" xfId="2" applyFont="1" applyBorder="1" applyAlignment="1">
      <alignment horizontal="left" vertical="top"/>
    </xf>
    <xf numFmtId="0" fontId="36" fillId="0" borderId="10" xfId="2" applyFont="1" applyBorder="1" applyAlignment="1">
      <alignment horizontal="left" vertical="center" wrapText="1"/>
    </xf>
    <xf numFmtId="0" fontId="36" fillId="0" borderId="11" xfId="2" applyFont="1" applyBorder="1" applyAlignment="1">
      <alignment horizontal="left" vertical="center" wrapText="1"/>
    </xf>
  </cellXfs>
  <cellStyles count="4">
    <cellStyle name="Link" xfId="1" builtinId="8"/>
    <cellStyle name="Standard" xfId="0" builtinId="0"/>
    <cellStyle name="Standard 2" xfId="2" xr:uid="{00000000-0005-0000-0000-000002000000}"/>
    <cellStyle name="Standard 3" xfId="3" xr:uid="{00000000-0005-0000-0000-000003000000}"/>
  </cellStyles>
  <dxfs count="12">
    <dxf>
      <fill>
        <patternFill patternType="solid">
          <bgColor theme="5" tint="0.79998168889431442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color theme="5" tint="0.79998168889431442"/>
      </font>
    </dxf>
    <dxf>
      <font>
        <color theme="5" tint="0.79998168889431442"/>
      </font>
      <fill>
        <patternFill>
          <bgColor theme="5" tint="0.79998168889431442"/>
        </patternFill>
      </fill>
    </dxf>
    <dxf>
      <font>
        <color theme="5" tint="0.79998168889431442"/>
      </font>
    </dxf>
    <dxf>
      <font>
        <b/>
        <i val="0"/>
        <color rgb="FFFF0000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FFEB9C"/>
        </patternFill>
      </fill>
    </dxf>
    <dxf>
      <fill>
        <patternFill>
          <bgColor theme="5" tint="0.79998168889431442"/>
        </patternFill>
      </fill>
    </dxf>
    <dxf>
      <font>
        <color theme="5" tint="0.79998168889431442"/>
      </font>
      <fill>
        <patternFill>
          <bgColor theme="5" tint="0.79998168889431442"/>
        </patternFill>
      </fill>
    </dxf>
    <dxf>
      <font>
        <strike val="0"/>
        <color theme="5" tint="0.79998168889431442"/>
      </font>
    </dxf>
    <dxf>
      <font>
        <strike val="0"/>
        <color theme="5" tint="0.79998168889431442"/>
      </font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156029</xdr:colOff>
      <xdr:row>10</xdr:row>
      <xdr:rowOff>14562</xdr:rowOff>
    </xdr:from>
    <xdr:ext cx="10647420" cy="3709182"/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1B74FD20-76E6-4538-A566-0E0B677CB8D8}"/>
            </a:ext>
          </a:extLst>
        </xdr:cNvPr>
        <xdr:cNvSpPr/>
      </xdr:nvSpPr>
      <xdr:spPr>
        <a:xfrm rot="1086701">
          <a:off x="6849506" y="1711744"/>
          <a:ext cx="10647420" cy="3709182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marL="0" indent="0" algn="ctr"/>
          <a:r>
            <a:rPr lang="de-DE" sz="28700" b="0" cap="none" spc="0">
              <a:ln w="0"/>
              <a:gradFill>
                <a:gsLst>
                  <a:gs pos="21000">
                    <a:srgbClr val="53575C">
                      <a:alpha val="20000"/>
                    </a:srgbClr>
                  </a:gs>
                  <a:gs pos="88000">
                    <a:srgbClr val="C5C7CA"/>
                  </a:gs>
                </a:gsLst>
                <a:lin ang="5400000"/>
              </a:gradFill>
              <a:effectLst/>
              <a:latin typeface="+mn-lt"/>
              <a:ea typeface="+mn-ea"/>
              <a:cs typeface="+mn-cs"/>
            </a:rPr>
            <a:t>MS-AC</a:t>
          </a:r>
        </a:p>
      </xdr:txBody>
    </xdr:sp>
    <xdr:clientData/>
  </xdr:oneCellAnchor>
  <xdr:twoCellAnchor editAs="absolute">
    <xdr:from>
      <xdr:col>13</xdr:col>
      <xdr:colOff>207819</xdr:colOff>
      <xdr:row>3</xdr:row>
      <xdr:rowOff>8658</xdr:rowOff>
    </xdr:from>
    <xdr:to>
      <xdr:col>18</xdr:col>
      <xdr:colOff>450273</xdr:colOff>
      <xdr:row>33</xdr:row>
      <xdr:rowOff>155863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691D9ACB-5C07-285B-2F56-95DE4A88E881}"/>
            </a:ext>
          </a:extLst>
        </xdr:cNvPr>
        <xdr:cNvSpPr txBox="1">
          <a:spLocks noChangeAspect="1"/>
        </xdr:cNvSpPr>
      </xdr:nvSpPr>
      <xdr:spPr>
        <a:xfrm>
          <a:off x="6901296" y="476249"/>
          <a:ext cx="4009159" cy="5654387"/>
        </a:xfrm>
        <a:prstGeom prst="rect">
          <a:avLst/>
        </a:prstGeom>
        <a:solidFill>
          <a:schemeClr val="bg1">
            <a:alpha val="70000"/>
          </a:schemeClr>
        </a:solidFill>
        <a:ln w="12700" cmpd="sng">
          <a:solidFill>
            <a:schemeClr val="tx1"/>
          </a:solidFill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800" b="1">
              <a:latin typeface="Arial" panose="020B0604020202020204" pitchFamily="34" charset="0"/>
              <a:cs typeface="Arial" panose="020B0604020202020204" pitchFamily="34" charset="0"/>
            </a:rPr>
            <a:t>Erläuterungen zur Anwendung</a:t>
          </a:r>
        </a:p>
        <a:p>
          <a:endParaRPr lang="de-DE" sz="8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800" b="0">
              <a:latin typeface="Arial" panose="020B0604020202020204" pitchFamily="34" charset="0"/>
              <a:cs typeface="Arial" panose="020B0604020202020204" pitchFamily="34" charset="0"/>
            </a:rPr>
            <a:t>Für die Berechnung kann beim Punkt "Berechnungsmethode:" über die Dropdownliste zwischen 3</a:t>
          </a:r>
          <a:r>
            <a:rPr lang="de-DE" sz="800" b="0" baseline="0">
              <a:latin typeface="Arial" panose="020B0604020202020204" pitchFamily="34" charset="0"/>
              <a:cs typeface="Arial" panose="020B0604020202020204" pitchFamily="34" charset="0"/>
            </a:rPr>
            <a:t> verschiedenen Methoden ausgewählt werden:</a:t>
          </a:r>
        </a:p>
        <a:p>
          <a:endParaRPr lang="de-DE" sz="800" b="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800" b="0">
              <a:latin typeface="Arial" panose="020B0604020202020204" pitchFamily="34" charset="0"/>
              <a:cs typeface="Arial" panose="020B0604020202020204" pitchFamily="34" charset="0"/>
            </a:rPr>
            <a:t>Richtwerte</a:t>
          </a:r>
          <a:r>
            <a:rPr lang="de-DE" sz="800" b="0" baseline="0">
              <a:latin typeface="Arial" panose="020B0604020202020204" pitchFamily="34" charset="0"/>
              <a:cs typeface="Arial" panose="020B0604020202020204" pitchFamily="34" charset="0"/>
            </a:rPr>
            <a:t> für 10-kV- und 20-kV-Schaltanlagen	(1)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800" b="0">
              <a:latin typeface="Arial" panose="020B0604020202020204" pitchFamily="34" charset="0"/>
              <a:cs typeface="Arial" panose="020B0604020202020204" pitchFamily="34" charset="0"/>
            </a:rPr>
            <a:t>Worst-Case-Betrachtung		(2)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800" b="0">
              <a:latin typeface="Arial" panose="020B0604020202020204" pitchFamily="34" charset="0"/>
              <a:cs typeface="Arial" panose="020B0604020202020204" pitchFamily="34" charset="0"/>
            </a:rPr>
            <a:t>Genauere Bestimmung mit Elektrodenabstand	(3)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de-DE" sz="800" b="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>
            <a:buFontTx/>
            <a:buNone/>
          </a:pPr>
          <a:r>
            <a:rPr lang="de-DE" sz="800" b="0">
              <a:latin typeface="Arial" panose="020B0604020202020204" pitchFamily="34" charset="0"/>
              <a:cs typeface="Arial" panose="020B0604020202020204" pitchFamily="34" charset="0"/>
            </a:rPr>
            <a:t>Weitere Informationen sind außerdem online in den FAQ J4 zu finden.</a:t>
          </a:r>
        </a:p>
        <a:p>
          <a:pPr marL="0" indent="0">
            <a:buFontTx/>
            <a:buNone/>
          </a:pPr>
          <a:endParaRPr lang="de-DE" sz="800" b="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>
            <a:spcBef>
              <a:spcPts val="600"/>
            </a:spcBef>
            <a:buFontTx/>
            <a:buNone/>
          </a:pPr>
          <a:r>
            <a:rPr lang="de-DE" sz="800" b="0" u="sng">
              <a:latin typeface="Arial" panose="020B0604020202020204" pitchFamily="34" charset="0"/>
              <a:cs typeface="Arial" panose="020B0604020202020204" pitchFamily="34" charset="0"/>
            </a:rPr>
            <a:t>(1)</a:t>
          </a:r>
          <a:r>
            <a:rPr lang="de-DE" sz="800" b="0" u="sng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kumimoji="0" lang="de-DE" sz="8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Richtwerte für 10-kV- und 20-kV-Schaltanlagen</a:t>
          </a:r>
        </a:p>
        <a:p>
          <a:pPr marL="0" indent="0">
            <a:buFontTx/>
            <a:buNone/>
          </a:pPr>
          <a:endParaRPr kumimoji="0" lang="de-DE" sz="800" b="0" i="0" u="sng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>
            <a:buFontTx/>
            <a:buNone/>
          </a:pPr>
          <a:r>
            <a:rPr lang="de-DE" sz="800" b="0">
              <a:latin typeface="Arial" panose="020B0604020202020204" pitchFamily="34" charset="0"/>
              <a:cs typeface="Arial" panose="020B0604020202020204" pitchFamily="34" charset="0"/>
            </a:rPr>
            <a:t>Abschätzung anhand von Richtwerten (siehe Tab. 3.2 in Anhang A 3) der bezogenen Lichtbogenleistung </a:t>
          </a:r>
          <a:r>
            <a:rPr lang="de-DE" sz="800" b="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</a:t>
          </a:r>
          <a:r>
            <a:rPr lang="de-DE" sz="800" b="0" baseline="-25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</a:t>
          </a:r>
          <a:r>
            <a:rPr lang="de-DE" sz="8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de-DE" sz="800" b="0" baseline="0">
              <a:latin typeface="Arial" panose="020B0604020202020204" pitchFamily="34" charset="0"/>
              <a:cs typeface="Arial" panose="020B0604020202020204" pitchFamily="34" charset="0"/>
            </a:rPr>
            <a:t>mit</a:t>
          </a:r>
          <a:endParaRPr lang="de-DE" sz="800" b="0" baseline="-25000">
            <a:latin typeface="Arial" panose="020B0604020202020204" pitchFamily="34" charset="0"/>
            <a:cs typeface="Arial" panose="020B0604020202020204" pitchFamily="34" charset="0"/>
          </a:endParaRPr>
        </a:p>
        <a:p>
          <a:pPr marL="628650" lvl="1" indent="-171450">
            <a:spcBef>
              <a:spcPts val="600"/>
            </a:spcBef>
            <a:spcAft>
              <a:spcPts val="0"/>
            </a:spcAft>
            <a:buFont typeface="Symbol" panose="05050102010706020507" pitchFamily="18" charset="2"/>
            <a:buChar char="-"/>
          </a:pPr>
          <a:r>
            <a:rPr lang="de-DE" sz="800" b="0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</a:t>
          </a:r>
          <a:r>
            <a:rPr lang="de-DE" sz="800" b="0" baseline="-250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</a:t>
          </a:r>
          <a:r>
            <a:rPr lang="de-DE" sz="800" b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= 0,04 für 10-kV-Schaltanlagen</a:t>
          </a:r>
        </a:p>
        <a:p>
          <a:pPr marL="628650" lvl="1" indent="-171450">
            <a:spcBef>
              <a:spcPts val="600"/>
            </a:spcBef>
            <a:spcAft>
              <a:spcPts val="600"/>
            </a:spcAft>
            <a:buFont typeface="Symbol" panose="05050102010706020507" pitchFamily="18" charset="2"/>
            <a:buChar char="-"/>
          </a:pPr>
          <a:r>
            <a:rPr lang="de-DE" sz="800" b="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</a:t>
          </a:r>
          <a:r>
            <a:rPr lang="de-DE" sz="800" b="0" baseline="-25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</a:t>
          </a:r>
          <a:r>
            <a:rPr lang="de-DE" sz="8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= 0,08 für 20-kV-Schaltanlagen</a:t>
          </a:r>
        </a:p>
        <a:p>
          <a:pPr marL="0" lvl="1" indent="0">
            <a:spcBef>
              <a:spcPts val="0"/>
            </a:spcBef>
            <a:spcAft>
              <a:spcPts val="0"/>
            </a:spcAft>
            <a:buFontTx/>
            <a:buNone/>
          </a:pPr>
          <a:r>
            <a:rPr lang="de-DE" sz="8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Die Auswahl der Spannungsebene (10 oder 20 kV)</a:t>
          </a:r>
          <a:r>
            <a:rPr lang="de-DE" sz="8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erfolgt über die Dropdownliste beim Punkt "Netzspannung:".</a:t>
          </a:r>
          <a:endParaRPr lang="de-DE" sz="800" b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DE" sz="800" b="0" i="0" u="sng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8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(2) Worst-Case-Betrachtung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DE" sz="800" b="0" i="0" u="sng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Über die Dropdownliste beim Punkt "Ort:" kann zwischen "Schaltanlage" und "Transformator" ausgewählt werden. Verwendung differenzierterer Richtwerte der Lichtbogenspannung:</a:t>
          </a:r>
        </a:p>
        <a:p>
          <a:pPr marL="628650" marR="0" lvl="1" indent="-171450" defTabSz="914400" eaLnBrk="1" fontAlgn="auto" latinLnBrk="0" hangingPunct="1">
            <a:lnSpc>
              <a:spcPct val="100000"/>
            </a:lnSpc>
            <a:spcBef>
              <a:spcPts val="600"/>
            </a:spcBef>
            <a:spcAft>
              <a:spcPts val="300"/>
            </a:spcAft>
            <a:buClrTx/>
            <a:buSzTx/>
            <a:buFont typeface="Symbol" panose="05050102010706020507" pitchFamily="18" charset="2"/>
            <a:buChar char="-"/>
            <a:tabLst/>
            <a:defRPr/>
          </a:pPr>
          <a:r>
            <a:rPr lang="de-DE" sz="800" b="0" i="0" noProof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Schaltanlagen</a:t>
          </a:r>
        </a:p>
        <a:p>
          <a:pPr marL="900000" marR="0" lvl="1" indent="-172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lang="de-DE" sz="800" b="0" i="0" noProof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800 V im 10 kV-Bereich</a:t>
          </a:r>
        </a:p>
        <a:p>
          <a:pPr marL="900000" marR="0" lvl="1" indent="-172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lang="de-DE" sz="800" b="0" i="0" noProof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1300 V im 20 kV-Bereich</a:t>
          </a:r>
        </a:p>
        <a:p>
          <a:pPr marL="900000" marR="0" lvl="1" indent="-172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lang="de-DE" sz="800" b="0" i="0" noProof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1800 V im 30 kV-Bereich</a:t>
          </a:r>
        </a:p>
        <a:p>
          <a:pPr marL="628650" marR="0" lvl="1" indent="-171450" defTabSz="914400" eaLnBrk="1" fontAlgn="auto" latinLnBrk="0" hangingPunct="1">
            <a:lnSpc>
              <a:spcPct val="100000"/>
            </a:lnSpc>
            <a:spcBef>
              <a:spcPts val="600"/>
            </a:spcBef>
            <a:spcAft>
              <a:spcPts val="300"/>
            </a:spcAft>
            <a:buClrTx/>
            <a:buSzTx/>
            <a:buFont typeface="Symbol" panose="05050102010706020507" pitchFamily="18" charset="2"/>
            <a:buChar char="-"/>
            <a:tabLst/>
            <a:defRPr/>
          </a:pPr>
          <a:r>
            <a:rPr kumimoji="0" lang="de-DE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Transformatoren</a:t>
          </a:r>
        </a:p>
        <a:p>
          <a:pPr marL="900000" marR="0" lvl="1" indent="-172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de-DE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2000 V</a:t>
          </a:r>
        </a:p>
        <a:p>
          <a:pPr marL="0" marR="0" lvl="1" indent="0" defTabSz="914400" eaLnBrk="1" fontAlgn="auto" latinLnBrk="0" hangingPunct="1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Die Auswahl der Spannungsebene (10 kV, 20 kV oder 30 kV) erfolgt über die Dropdownliste beim Punkt "Netzspannung:".</a:t>
          </a:r>
        </a:p>
        <a:p>
          <a:pPr marL="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800" b="0" i="0" noProof="0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8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(3) Genauere Bestimmung mit Elektrodenabstand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DE" sz="800" b="0" i="0" u="sng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Detailliertere Berechnung der Lichtbogensspannung unter Berücksichtigung des Elektrodenabstandes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DE" sz="8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Die genauen Werte von Netzspannung und Leiterabstand können in die entsprechenden Felder eingetragen werden.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527772</xdr:colOff>
      <xdr:row>5</xdr:row>
      <xdr:rowOff>112601</xdr:rowOff>
    </xdr:from>
    <xdr:ext cx="10616078" cy="4294623"/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B401146C-FCCD-419E-A62B-0C918F15F0B5}"/>
            </a:ext>
          </a:extLst>
        </xdr:cNvPr>
        <xdr:cNvSpPr/>
      </xdr:nvSpPr>
      <xdr:spPr>
        <a:xfrm rot="1086701">
          <a:off x="12084772" y="2779601"/>
          <a:ext cx="10616078" cy="4294623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marL="0" indent="0" algn="ctr"/>
          <a:r>
            <a:rPr lang="de-DE" sz="28700" b="0" cap="none" spc="0">
              <a:ln w="0"/>
              <a:gradFill>
                <a:gsLst>
                  <a:gs pos="21000">
                    <a:srgbClr val="53575C">
                      <a:alpha val="20000"/>
                    </a:srgbClr>
                  </a:gs>
                  <a:gs pos="88000">
                    <a:srgbClr val="C5C7CA"/>
                  </a:gs>
                </a:gsLst>
                <a:lin ang="5400000"/>
              </a:gradFill>
              <a:effectLst/>
              <a:latin typeface="+mn-lt"/>
              <a:ea typeface="+mn-ea"/>
              <a:cs typeface="+mn-cs"/>
            </a:rPr>
            <a:t>MS-AC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319116</xdr:colOff>
      <xdr:row>9</xdr:row>
      <xdr:rowOff>26485</xdr:rowOff>
    </xdr:from>
    <xdr:ext cx="10248040" cy="3774410"/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2363636C-8FD7-4C25-8115-DCE342999C74}"/>
            </a:ext>
          </a:extLst>
        </xdr:cNvPr>
        <xdr:cNvSpPr/>
      </xdr:nvSpPr>
      <xdr:spPr>
        <a:xfrm rot="2425149">
          <a:off x="13523147" y="2229141"/>
          <a:ext cx="10248040" cy="377441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marL="0" indent="0" algn="ctr"/>
          <a:r>
            <a:rPr lang="de-DE" sz="28700" b="0" cap="none" spc="0">
              <a:ln w="0"/>
              <a:gradFill>
                <a:gsLst>
                  <a:gs pos="21000">
                    <a:srgbClr val="53575C">
                      <a:alpha val="20000"/>
                    </a:srgbClr>
                  </a:gs>
                  <a:gs pos="88000">
                    <a:srgbClr val="C5C7CA"/>
                  </a:gs>
                </a:gsLst>
                <a:lin ang="5400000"/>
              </a:gradFill>
              <a:effectLst/>
              <a:latin typeface="+mn-lt"/>
              <a:ea typeface="+mn-ea"/>
              <a:cs typeface="+mn-cs"/>
            </a:rPr>
            <a:t>MS-AC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1257300</xdr:colOff>
      <xdr:row>24</xdr:row>
      <xdr:rowOff>95250</xdr:rowOff>
    </xdr:from>
    <xdr:ext cx="2010834" cy="34925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feld 1">
              <a:extLst>
                <a:ext uri="{FF2B5EF4-FFF2-40B4-BE49-F238E27FC236}">
                  <a16:creationId xmlns:a16="http://schemas.microsoft.com/office/drawing/2014/main" id="{00000000-0008-0000-0300-000002000000}"/>
                </a:ext>
              </a:extLst>
            </xdr:cNvPr>
            <xdr:cNvSpPr txBox="1"/>
          </xdr:nvSpPr>
          <xdr:spPr>
            <a:xfrm>
              <a:off x="2114550" y="6029325"/>
              <a:ext cx="2010834" cy="34925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DE" sz="1000" i="1">
                        <a:latin typeface="Cambria Math" panose="02040503050406030204" pitchFamily="18" charset="0"/>
                      </a:rPr>
                      <m:t>𝑊</m:t>
                    </m:r>
                    <m:r>
                      <a:rPr lang="de-DE" sz="1000" i="1" baseline="-25000">
                        <a:latin typeface="Cambria Math" panose="02040503050406030204" pitchFamily="18" charset="0"/>
                      </a:rPr>
                      <m:t>𝐿𝐵</m:t>
                    </m:r>
                    <m:r>
                      <a:rPr lang="de-DE" sz="1000" b="0" i="1" baseline="-25000">
                        <a:latin typeface="Cambria Math" charset="0"/>
                      </a:rPr>
                      <m:t>𝑆</m:t>
                    </m:r>
                    <m:sSub>
                      <m:sSubPr>
                        <m:ctrlPr>
                          <a:rPr lang="en-US" sz="10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de-DE" sz="1000" b="0" i="1">
                            <a:latin typeface="Cambria Math" charset="0"/>
                          </a:rPr>
                          <m:t>=</m:t>
                        </m:r>
                        <m:r>
                          <a:rPr lang="de-DE" sz="1000" b="0" i="1">
                            <a:latin typeface="Cambria Math" charset="0"/>
                          </a:rPr>
                          <m:t>𝑘</m:t>
                        </m:r>
                      </m:e>
                      <m:sub>
                        <m:r>
                          <a:rPr lang="de-DE" sz="1000" b="0" i="1">
                            <a:latin typeface="Cambria Math" charset="0"/>
                          </a:rPr>
                          <m:t>𝑇</m:t>
                        </m:r>
                      </m:sub>
                    </m:sSub>
                    <m:r>
                      <a:rPr lang="de-DE" sz="10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sSup>
                      <m:sSupPr>
                        <m:ctrlPr>
                          <a:rPr lang="de-DE" sz="10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de-DE" sz="10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(</m:t>
                        </m:r>
                        <m:f>
                          <m:fPr>
                            <m:ctrlPr>
                              <a:rPr lang="de-DE" sz="10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de-DE" sz="10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𝑎</m:t>
                            </m:r>
                          </m:num>
                          <m:den>
                            <m:r>
                              <a:rPr lang="de-DE" sz="10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300 </m:t>
                            </m:r>
                            <m:r>
                              <a:rPr lang="de-DE" sz="10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𝑚𝑚</m:t>
                            </m:r>
                          </m:den>
                        </m:f>
                        <m:r>
                          <a:rPr lang="de-DE" sz="10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</m:t>
                        </m:r>
                      </m:e>
                      <m:sup>
                        <m:r>
                          <a:rPr lang="de-DE" sz="1000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  <m:r>
                      <a:rPr lang="de-DE" sz="10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r>
                      <a:rPr lang="de-DE" sz="1000" i="1">
                        <a:latin typeface="Cambria Math" panose="02040503050406030204" pitchFamily="18" charset="0"/>
                      </a:rPr>
                      <m:t>𝑊</m:t>
                    </m:r>
                    <m:r>
                      <a:rPr lang="de-DE" sz="1000" i="1" baseline="-25000">
                        <a:latin typeface="Cambria Math" panose="02040503050406030204" pitchFamily="18" charset="0"/>
                      </a:rPr>
                      <m:t>𝐿𝐵𝑃</m:t>
                    </m:r>
                  </m:oMath>
                </m:oMathPara>
              </a14:m>
              <a:endParaRPr lang="de-DE" sz="1000" baseline="-25000"/>
            </a:p>
          </xdr:txBody>
        </xdr:sp>
      </mc:Choice>
      <mc:Fallback xmlns="">
        <xdr:sp macro="" textlink="">
          <xdr:nvSpPr>
            <xdr:cNvPr id="2" name="Textfeld 1">
              <a:extLst>
                <a:ext uri="{FF2B5EF4-FFF2-40B4-BE49-F238E27FC236}">
                  <a16:creationId xmlns:a16="http://schemas.microsoft.com/office/drawing/2014/main" id="{945ADB34-4669-417E-A9A4-22A5C41B5646}"/>
                </a:ext>
              </a:extLst>
            </xdr:cNvPr>
            <xdr:cNvSpPr txBox="1"/>
          </xdr:nvSpPr>
          <xdr:spPr>
            <a:xfrm>
              <a:off x="2114550" y="6029325"/>
              <a:ext cx="2010834" cy="34925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de-DE" sz="1000" i="0">
                  <a:latin typeface="Cambria Math" panose="02040503050406030204" pitchFamily="18" charset="0"/>
                </a:rPr>
                <a:t>𝑊</a:t>
              </a:r>
              <a:r>
                <a:rPr lang="de-DE" sz="1000" i="0" baseline="-25000">
                  <a:latin typeface="Cambria Math" panose="02040503050406030204" pitchFamily="18" charset="0"/>
                </a:rPr>
                <a:t>𝐿𝐵</a:t>
              </a:r>
              <a:r>
                <a:rPr lang="de-DE" sz="1000" b="0" i="0" baseline="-25000">
                  <a:latin typeface="Cambria Math" charset="0"/>
                </a:rPr>
                <a:t>𝑆</a:t>
              </a:r>
              <a:r>
                <a:rPr lang="en-US" sz="1000" i="0">
                  <a:latin typeface="Cambria Math" panose="02040503050406030204" pitchFamily="18" charset="0"/>
                </a:rPr>
                <a:t>〖</a:t>
              </a:r>
              <a:r>
                <a:rPr lang="de-DE" sz="1000" b="0" i="0">
                  <a:latin typeface="Cambria Math" charset="0"/>
                </a:rPr>
                <a:t>=𝑘</a:t>
              </a:r>
              <a:r>
                <a:rPr lang="en-US" sz="1000" b="0" i="0">
                  <a:latin typeface="Cambria Math" panose="02040503050406030204" pitchFamily="18" charset="0"/>
                </a:rPr>
                <a:t>〗_</a:t>
              </a:r>
              <a:r>
                <a:rPr lang="de-DE" sz="1000" b="0" i="0">
                  <a:latin typeface="Cambria Math" charset="0"/>
                </a:rPr>
                <a:t>𝑇</a:t>
              </a:r>
              <a:r>
                <a:rPr lang="de-DE" sz="1000" i="0">
                  <a:latin typeface="Cambria Math" panose="02040503050406030204" pitchFamily="18" charset="0"/>
                  <a:ea typeface="Cambria Math" panose="02040503050406030204" pitchFamily="18" charset="0"/>
                </a:rPr>
                <a:t>×</a:t>
              </a:r>
              <a:r>
                <a:rPr lang="de-DE" sz="1000" i="0">
                  <a:latin typeface="Cambria Math" panose="02040503050406030204" pitchFamily="18" charset="0"/>
                </a:rPr>
                <a:t>〖</a:t>
              </a:r>
              <a:r>
                <a:rPr lang="de-DE" sz="10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(𝑎/(</a:t>
              </a:r>
              <a:r>
                <a:rPr lang="de-DE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300 𝑚𝑚)</a:t>
              </a:r>
              <a:r>
                <a:rPr lang="de-DE" sz="10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)〗^</a:t>
              </a:r>
              <a:r>
                <a:rPr lang="de-DE" sz="1000" b="0" i="0">
                  <a:latin typeface="Cambria Math" panose="02040503050406030204" pitchFamily="18" charset="0"/>
                </a:rPr>
                <a:t>2</a:t>
              </a:r>
              <a:r>
                <a:rPr lang="de-DE" sz="1000" i="0">
                  <a:latin typeface="Cambria Math" panose="02040503050406030204" pitchFamily="18" charset="0"/>
                  <a:ea typeface="Cambria Math" panose="02040503050406030204" pitchFamily="18" charset="0"/>
                </a:rPr>
                <a:t>×</a:t>
              </a:r>
              <a:r>
                <a:rPr lang="de-DE" sz="1000" i="0">
                  <a:latin typeface="Cambria Math" panose="02040503050406030204" pitchFamily="18" charset="0"/>
                </a:rPr>
                <a:t>𝑊</a:t>
              </a:r>
              <a:r>
                <a:rPr lang="de-DE" sz="1000" i="0" baseline="-25000">
                  <a:latin typeface="Cambria Math" panose="02040503050406030204" pitchFamily="18" charset="0"/>
                </a:rPr>
                <a:t>𝐿𝐵𝑃</a:t>
              </a:r>
              <a:endParaRPr lang="de-DE" sz="1000" baseline="-25000"/>
            </a:p>
          </xdr:txBody>
        </xdr:sp>
      </mc:Fallback>
    </mc:AlternateContent>
    <xdr:clientData/>
  </xdr:oneCellAnchor>
  <xdr:oneCellAnchor>
    <xdr:from>
      <xdr:col>6</xdr:col>
      <xdr:colOff>441855</xdr:colOff>
      <xdr:row>10</xdr:row>
      <xdr:rowOff>165920</xdr:rowOff>
    </xdr:from>
    <xdr:ext cx="10372899" cy="4294623"/>
    <xdr:sp macro="" textlink="">
      <xdr:nvSpPr>
        <xdr:cNvPr id="4" name="Rechteck 3">
          <a:extLst>
            <a:ext uri="{FF2B5EF4-FFF2-40B4-BE49-F238E27FC236}">
              <a16:creationId xmlns:a16="http://schemas.microsoft.com/office/drawing/2014/main" id="{4B33BC21-F767-487B-8AEA-726A575BC795}"/>
            </a:ext>
          </a:extLst>
        </xdr:cNvPr>
        <xdr:cNvSpPr/>
      </xdr:nvSpPr>
      <xdr:spPr>
        <a:xfrm rot="1086701">
          <a:off x="7137930" y="2004245"/>
          <a:ext cx="10372899" cy="4294623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marL="0" indent="0" algn="ctr"/>
          <a:r>
            <a:rPr lang="de-DE" sz="28700" b="0" cap="none" spc="0">
              <a:ln w="0"/>
              <a:gradFill>
                <a:gsLst>
                  <a:gs pos="21000">
                    <a:srgbClr val="53575C">
                      <a:alpha val="20000"/>
                    </a:srgbClr>
                  </a:gs>
                  <a:gs pos="88000">
                    <a:srgbClr val="C5C7CA"/>
                  </a:gs>
                </a:gsLst>
                <a:lin ang="5400000"/>
              </a:gradFill>
              <a:effectLst/>
              <a:latin typeface="+mn-lt"/>
              <a:ea typeface="+mn-ea"/>
              <a:cs typeface="+mn-cs"/>
            </a:rPr>
            <a:t>MS-AC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288925</xdr:colOff>
      <xdr:row>7</xdr:row>
      <xdr:rowOff>123825</xdr:rowOff>
    </xdr:from>
    <xdr:to>
      <xdr:col>7</xdr:col>
      <xdr:colOff>93691</xdr:colOff>
      <xdr:row>28</xdr:row>
      <xdr:rowOff>6891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622777DF-470D-107F-2D9C-1A67ECC06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4875" y="1228725"/>
          <a:ext cx="7380316" cy="37502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guv.de/fb-etem/sachgebiete/elektro_feinmechanik/themenfeld-el-anlagen/faqs/stoerlichtbogenschutz/stoerlichtboegen-in-hochspannungsanlagen.jsp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1">
    <tabColor theme="5" tint="0.79998168889431442"/>
    <pageSetUpPr fitToPage="1"/>
  </sheetPr>
  <dimension ref="B1:Z43"/>
  <sheetViews>
    <sheetView showGridLines="0" showRowColHeaders="0" tabSelected="1" zoomScale="110" zoomScaleNormal="110" zoomScalePageLayoutView="120" workbookViewId="0">
      <selection activeCell="C4" sqref="C4:H5"/>
    </sheetView>
  </sheetViews>
  <sheetFormatPr baseColWidth="10" defaultColWidth="11.28515625" defaultRowHeight="11.25" x14ac:dyDescent="0.2"/>
  <cols>
    <col min="1" max="1" width="3.7109375" style="48" customWidth="1"/>
    <col min="2" max="2" width="24.140625" style="48" customWidth="1"/>
    <col min="3" max="3" width="5.140625" style="48" customWidth="1"/>
    <col min="4" max="4" width="0.85546875" style="48" customWidth="1"/>
    <col min="5" max="5" width="4" style="48" customWidth="1"/>
    <col min="6" max="6" width="6" style="48" customWidth="1"/>
    <col min="7" max="7" width="10.140625" style="48" customWidth="1"/>
    <col min="8" max="8" width="12.140625" style="48" customWidth="1"/>
    <col min="9" max="9" width="3.7109375" style="48" customWidth="1"/>
    <col min="10" max="10" width="10.7109375" style="48" customWidth="1"/>
    <col min="11" max="11" width="9.7109375" style="48" customWidth="1"/>
    <col min="12" max="12" width="9.42578125" style="48" customWidth="1"/>
    <col min="13" max="13" width="0.28515625" style="48" customWidth="1"/>
    <col min="14" max="16384" width="11.28515625" style="48"/>
  </cols>
  <sheetData>
    <row r="1" spans="2:26" ht="12" thickTop="1" x14ac:dyDescent="0.2">
      <c r="K1" s="236" t="s">
        <v>240</v>
      </c>
      <c r="L1" s="237"/>
    </row>
    <row r="2" spans="2:26" ht="12" thickBot="1" x14ac:dyDescent="0.25">
      <c r="K2" s="238"/>
      <c r="L2" s="239"/>
    </row>
    <row r="3" spans="2:26" ht="12" thickTop="1" x14ac:dyDescent="0.2"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</row>
    <row r="4" spans="2:26" ht="11.25" customHeight="1" x14ac:dyDescent="0.2">
      <c r="B4" s="201" t="s">
        <v>38</v>
      </c>
      <c r="C4" s="248" t="s">
        <v>269</v>
      </c>
      <c r="D4" s="248"/>
      <c r="E4" s="248"/>
      <c r="F4" s="248"/>
      <c r="G4" s="248"/>
      <c r="H4" s="248"/>
      <c r="J4" s="48" t="s">
        <v>37</v>
      </c>
      <c r="K4" s="240" t="s">
        <v>145</v>
      </c>
      <c r="L4" s="24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</row>
    <row r="5" spans="2:26" ht="11.25" customHeight="1" x14ac:dyDescent="0.2">
      <c r="C5" s="248"/>
      <c r="D5" s="248"/>
      <c r="E5" s="248"/>
      <c r="F5" s="248"/>
      <c r="G5" s="248"/>
      <c r="H5" s="248"/>
      <c r="K5" s="241"/>
      <c r="L5" s="24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</row>
    <row r="6" spans="2:26" ht="15" x14ac:dyDescent="0.25">
      <c r="C6" s="202"/>
      <c r="D6" s="202"/>
      <c r="E6" s="202"/>
      <c r="F6" s="202"/>
      <c r="G6" s="202"/>
      <c r="H6" s="202"/>
      <c r="K6" s="247"/>
      <c r="L6" s="247"/>
      <c r="N6" s="251"/>
      <c r="O6" s="251"/>
      <c r="P6" s="251"/>
      <c r="Q6" s="251"/>
      <c r="R6" s="251"/>
      <c r="S6" s="251"/>
      <c r="T6" s="251"/>
      <c r="U6" s="251"/>
      <c r="V6" s="251"/>
      <c r="W6" s="251"/>
      <c r="X6" s="251"/>
      <c r="Y6" s="251"/>
      <c r="Z6" s="251"/>
    </row>
    <row r="7" spans="2:26" ht="20.25" customHeight="1" x14ac:dyDescent="0.2">
      <c r="M7" s="203"/>
      <c r="N7" s="251"/>
      <c r="O7" s="251"/>
      <c r="P7" s="251"/>
      <c r="Q7" s="251"/>
      <c r="R7" s="251"/>
      <c r="S7" s="251"/>
      <c r="T7" s="251"/>
      <c r="U7" s="251"/>
      <c r="V7" s="251"/>
      <c r="W7" s="251"/>
      <c r="X7" s="251"/>
      <c r="Y7" s="251"/>
      <c r="Z7" s="251"/>
    </row>
    <row r="8" spans="2:26" ht="11.25" customHeight="1" x14ac:dyDescent="0.2">
      <c r="B8" s="48" t="s">
        <v>36</v>
      </c>
      <c r="C8" s="243" t="s">
        <v>217</v>
      </c>
      <c r="D8" s="249"/>
      <c r="E8" s="249"/>
      <c r="F8" s="249"/>
      <c r="G8" s="249"/>
      <c r="H8" s="249"/>
      <c r="J8" s="48" t="s">
        <v>39</v>
      </c>
      <c r="K8" s="250">
        <v>45966</v>
      </c>
      <c r="L8" s="250"/>
      <c r="M8" s="203"/>
      <c r="N8" s="251"/>
      <c r="O8" s="251"/>
      <c r="P8" s="251"/>
      <c r="Q8" s="251"/>
      <c r="R8" s="251"/>
      <c r="S8" s="251"/>
      <c r="T8" s="251"/>
      <c r="U8" s="251"/>
      <c r="V8" s="251"/>
      <c r="W8" s="251"/>
      <c r="X8" s="251"/>
      <c r="Y8" s="251"/>
      <c r="Z8" s="251"/>
    </row>
    <row r="9" spans="2:26" ht="11.25" customHeight="1" x14ac:dyDescent="0.2">
      <c r="B9" s="201"/>
      <c r="C9" s="249"/>
      <c r="D9" s="249"/>
      <c r="E9" s="249"/>
      <c r="F9" s="249"/>
      <c r="G9" s="249"/>
      <c r="H9" s="249"/>
      <c r="N9" s="251"/>
      <c r="O9" s="251"/>
      <c r="P9" s="251"/>
      <c r="Q9" s="251"/>
      <c r="R9" s="251"/>
      <c r="S9" s="251"/>
      <c r="T9" s="251"/>
      <c r="U9" s="251"/>
      <c r="V9" s="251"/>
      <c r="W9" s="251"/>
      <c r="X9" s="251"/>
      <c r="Y9" s="251"/>
      <c r="Z9" s="251"/>
    </row>
    <row r="10" spans="2:26" ht="15" x14ac:dyDescent="0.2">
      <c r="C10" s="204"/>
      <c r="D10" s="204"/>
      <c r="E10" s="204"/>
      <c r="F10" s="204"/>
      <c r="G10" s="204"/>
      <c r="H10" s="204"/>
      <c r="N10" s="251"/>
      <c r="O10" s="251"/>
      <c r="P10" s="251"/>
      <c r="Q10" s="251"/>
      <c r="R10" s="251"/>
      <c r="S10" s="251"/>
      <c r="T10" s="251"/>
      <c r="U10" s="251"/>
      <c r="V10" s="251"/>
      <c r="W10" s="251"/>
      <c r="X10" s="251"/>
      <c r="Y10" s="251"/>
      <c r="Z10" s="251"/>
    </row>
    <row r="11" spans="2:26" ht="15" customHeight="1" x14ac:dyDescent="0.2">
      <c r="B11" s="48" t="s">
        <v>243</v>
      </c>
      <c r="C11" s="253" t="s">
        <v>268</v>
      </c>
      <c r="D11" s="254"/>
      <c r="E11" s="254"/>
      <c r="F11" s="254"/>
      <c r="G11" s="254"/>
      <c r="H11" s="254"/>
      <c r="J11" s="235" t="s">
        <v>274</v>
      </c>
      <c r="N11" s="251"/>
      <c r="O11" s="251"/>
      <c r="P11" s="251"/>
      <c r="Q11" s="251"/>
      <c r="R11" s="251"/>
      <c r="S11" s="251"/>
      <c r="T11" s="251"/>
      <c r="U11" s="251"/>
      <c r="V11" s="251"/>
      <c r="W11" s="251"/>
      <c r="X11" s="251"/>
      <c r="Y11" s="251"/>
      <c r="Z11" s="251"/>
    </row>
    <row r="12" spans="2:26" ht="12.75" customHeight="1" x14ac:dyDescent="0.2">
      <c r="N12" s="251"/>
      <c r="O12" s="251"/>
      <c r="P12" s="251"/>
      <c r="Q12" s="251"/>
      <c r="R12" s="251"/>
      <c r="S12" s="251"/>
      <c r="T12" s="251"/>
      <c r="U12" s="251"/>
      <c r="V12" s="251"/>
      <c r="W12" s="251"/>
      <c r="X12" s="251"/>
      <c r="Y12" s="251"/>
      <c r="Z12" s="251"/>
    </row>
    <row r="13" spans="2:26" ht="12.75" customHeight="1" x14ac:dyDescent="0.2">
      <c r="B13" s="48" t="s">
        <v>271</v>
      </c>
      <c r="C13" s="252" t="s">
        <v>275</v>
      </c>
      <c r="D13" s="252"/>
      <c r="E13" s="252"/>
      <c r="F13" s="252"/>
      <c r="G13" s="252"/>
      <c r="H13" s="252"/>
      <c r="N13" s="251"/>
      <c r="O13" s="251"/>
      <c r="P13" s="251"/>
      <c r="Q13" s="251"/>
      <c r="R13" s="251"/>
      <c r="S13" s="251"/>
      <c r="T13" s="251"/>
      <c r="U13" s="251"/>
      <c r="V13" s="251"/>
      <c r="W13" s="251"/>
      <c r="X13" s="251"/>
      <c r="Y13" s="251"/>
      <c r="Z13" s="251"/>
    </row>
    <row r="14" spans="2:26" ht="12.75" customHeight="1" x14ac:dyDescent="0.2">
      <c r="N14" s="251"/>
      <c r="O14" s="251"/>
      <c r="P14" s="251"/>
      <c r="Q14" s="251"/>
      <c r="R14" s="251"/>
      <c r="S14" s="251"/>
      <c r="T14" s="251"/>
      <c r="U14" s="251"/>
      <c r="V14" s="251"/>
      <c r="W14" s="251"/>
      <c r="X14" s="251"/>
      <c r="Y14" s="251"/>
      <c r="Z14" s="251"/>
    </row>
    <row r="15" spans="2:26" ht="12" customHeight="1" x14ac:dyDescent="0.2">
      <c r="B15" s="48" t="s">
        <v>40</v>
      </c>
      <c r="C15" s="40">
        <v>10</v>
      </c>
      <c r="E15" s="48" t="s">
        <v>219</v>
      </c>
      <c r="F15" s="234">
        <v>10</v>
      </c>
      <c r="G15" s="228" t="s">
        <v>219</v>
      </c>
      <c r="H15" s="255" t="str">
        <f>IF(C15&lt;=1,"Bitte verwenden Sie das Excel-Tool für AC-Niederspannungsanlagen",IF('Berechnung MS-AC'!A31="Berechnung nicht möglich - Spannungsebene auswählen","Bitte wählen Sie eine Spannungsebene aus",""))</f>
        <v/>
      </c>
      <c r="I15" s="255"/>
      <c r="J15" s="255"/>
      <c r="K15" s="255"/>
      <c r="L15" s="255"/>
      <c r="N15" s="251"/>
      <c r="O15" s="251"/>
      <c r="P15" s="251"/>
      <c r="Q15" s="251"/>
      <c r="R15" s="251"/>
      <c r="S15" s="251"/>
      <c r="T15" s="251"/>
      <c r="U15" s="251"/>
      <c r="V15" s="251"/>
      <c r="W15" s="251"/>
      <c r="X15" s="251"/>
      <c r="Y15" s="251"/>
      <c r="Z15" s="251"/>
    </row>
    <row r="16" spans="2:26" ht="20.25" customHeight="1" x14ac:dyDescent="0.2">
      <c r="H16" s="255"/>
      <c r="I16" s="255"/>
      <c r="J16" s="255"/>
      <c r="K16" s="255"/>
      <c r="L16" s="255"/>
      <c r="N16" s="251"/>
      <c r="O16" s="251"/>
      <c r="P16" s="251"/>
      <c r="Q16" s="251"/>
      <c r="R16" s="251"/>
      <c r="S16" s="251"/>
      <c r="T16" s="251"/>
      <c r="U16" s="251"/>
      <c r="V16" s="251"/>
      <c r="W16" s="251"/>
      <c r="X16" s="251"/>
      <c r="Y16" s="251"/>
      <c r="Z16" s="251"/>
    </row>
    <row r="17" spans="2:26" x14ac:dyDescent="0.2">
      <c r="B17" s="48" t="s">
        <v>42</v>
      </c>
      <c r="C17" s="41">
        <v>13</v>
      </c>
      <c r="E17" s="48" t="s">
        <v>43</v>
      </c>
      <c r="J17" s="205"/>
      <c r="N17" s="251"/>
      <c r="O17" s="251"/>
      <c r="P17" s="251"/>
      <c r="Q17" s="251"/>
      <c r="R17" s="251"/>
      <c r="S17" s="251"/>
      <c r="T17" s="251"/>
      <c r="U17" s="251"/>
      <c r="V17" s="251"/>
      <c r="W17" s="251"/>
      <c r="X17" s="251"/>
      <c r="Y17" s="251"/>
      <c r="Z17" s="251"/>
    </row>
    <row r="18" spans="2:26" ht="20.25" customHeight="1" x14ac:dyDescent="0.25">
      <c r="K18" s="209"/>
      <c r="N18" s="251"/>
      <c r="O18" s="251"/>
      <c r="P18" s="251"/>
      <c r="Q18" s="251"/>
      <c r="R18" s="251"/>
      <c r="S18" s="251"/>
      <c r="T18" s="251"/>
      <c r="U18" s="251"/>
      <c r="V18" s="251"/>
      <c r="W18" s="251"/>
      <c r="X18" s="251"/>
      <c r="Y18" s="251"/>
      <c r="Z18" s="251"/>
    </row>
    <row r="19" spans="2:26" x14ac:dyDescent="0.2">
      <c r="B19" s="48" t="s">
        <v>44</v>
      </c>
      <c r="C19" s="41">
        <v>12</v>
      </c>
      <c r="E19" s="48" t="s">
        <v>43</v>
      </c>
      <c r="J19" s="201"/>
      <c r="N19" s="251"/>
      <c r="O19" s="251"/>
      <c r="P19" s="251"/>
      <c r="Q19" s="251"/>
      <c r="R19" s="251"/>
      <c r="S19" s="251"/>
      <c r="T19" s="251"/>
      <c r="U19" s="251"/>
      <c r="V19" s="251"/>
      <c r="W19" s="251"/>
      <c r="X19" s="251"/>
      <c r="Y19" s="251"/>
      <c r="Z19" s="251"/>
    </row>
    <row r="20" spans="2:26" ht="20.25" customHeight="1" x14ac:dyDescent="0.2">
      <c r="N20" s="251"/>
      <c r="O20" s="251"/>
      <c r="P20" s="251"/>
      <c r="Q20" s="251"/>
      <c r="R20" s="251"/>
      <c r="S20" s="251"/>
      <c r="T20" s="251"/>
      <c r="U20" s="251"/>
      <c r="V20" s="251"/>
      <c r="W20" s="251"/>
      <c r="X20" s="251"/>
      <c r="Y20" s="251"/>
      <c r="Z20" s="251"/>
    </row>
    <row r="21" spans="2:26" ht="11.25" customHeight="1" x14ac:dyDescent="0.2">
      <c r="B21" s="48" t="s">
        <v>45</v>
      </c>
      <c r="C21" s="42">
        <v>120</v>
      </c>
      <c r="E21" s="48" t="s">
        <v>46</v>
      </c>
      <c r="H21" s="255" t="str">
        <f>IF(C21&lt;=0,"Bitte geben Sie einen Leiterabstand größer Null ein","")</f>
        <v/>
      </c>
      <c r="I21" s="255"/>
      <c r="J21" s="255"/>
      <c r="K21" s="255"/>
      <c r="L21" s="255"/>
      <c r="M21" s="255"/>
      <c r="N21" s="251"/>
      <c r="O21" s="251"/>
      <c r="P21" s="251"/>
      <c r="Q21" s="251"/>
      <c r="R21" s="251"/>
      <c r="S21" s="251"/>
      <c r="T21" s="251"/>
      <c r="U21" s="251"/>
      <c r="V21" s="251"/>
      <c r="W21" s="251"/>
      <c r="X21" s="251"/>
      <c r="Y21" s="251"/>
      <c r="Z21" s="251"/>
    </row>
    <row r="22" spans="2:26" ht="20.25" customHeight="1" x14ac:dyDescent="0.2">
      <c r="H22" s="255"/>
      <c r="I22" s="255"/>
      <c r="J22" s="255"/>
      <c r="K22" s="255"/>
      <c r="L22" s="255"/>
      <c r="M22" s="255"/>
      <c r="N22" s="251"/>
      <c r="O22" s="251"/>
      <c r="P22" s="251"/>
      <c r="Q22" s="251"/>
      <c r="R22" s="251"/>
      <c r="S22" s="251"/>
      <c r="T22" s="251"/>
      <c r="U22" s="251"/>
      <c r="V22" s="251"/>
      <c r="W22" s="251"/>
      <c r="X22" s="251"/>
      <c r="Y22" s="251"/>
      <c r="Z22" s="251"/>
    </row>
    <row r="23" spans="2:26" x14ac:dyDescent="0.2">
      <c r="B23" s="48" t="s">
        <v>49</v>
      </c>
      <c r="C23" s="246" t="s">
        <v>267</v>
      </c>
      <c r="D23" s="246"/>
      <c r="E23" s="246"/>
      <c r="F23" s="246"/>
      <c r="G23" s="246"/>
      <c r="H23" s="246"/>
      <c r="J23" s="205"/>
      <c r="N23" s="251"/>
      <c r="O23" s="251"/>
      <c r="P23" s="251"/>
      <c r="Q23" s="251"/>
      <c r="R23" s="251"/>
      <c r="S23" s="251"/>
      <c r="T23" s="251"/>
      <c r="U23" s="251"/>
      <c r="V23" s="251"/>
      <c r="W23" s="251"/>
      <c r="X23" s="251"/>
      <c r="Y23" s="251"/>
      <c r="Z23" s="251"/>
    </row>
    <row r="24" spans="2:26" ht="20.25" customHeight="1" x14ac:dyDescent="0.2">
      <c r="N24" s="251"/>
      <c r="O24" s="251"/>
      <c r="P24" s="251"/>
      <c r="Q24" s="251"/>
      <c r="R24" s="251"/>
      <c r="S24" s="251"/>
      <c r="T24" s="251"/>
      <c r="U24" s="251"/>
      <c r="V24" s="251"/>
      <c r="W24" s="251"/>
      <c r="X24" s="251"/>
      <c r="Y24" s="251"/>
      <c r="Z24" s="251"/>
    </row>
    <row r="25" spans="2:26" ht="11.25" customHeight="1" x14ac:dyDescent="0.2">
      <c r="B25" s="48" t="s">
        <v>50</v>
      </c>
      <c r="G25" s="207" t="s">
        <v>51</v>
      </c>
      <c r="H25" s="242" t="s">
        <v>52</v>
      </c>
      <c r="I25" s="242"/>
      <c r="J25" s="242"/>
      <c r="K25" s="242"/>
      <c r="N25" s="251"/>
      <c r="O25" s="251"/>
      <c r="P25" s="251"/>
      <c r="Q25" s="251"/>
      <c r="R25" s="251"/>
      <c r="S25" s="251"/>
      <c r="T25" s="251"/>
      <c r="U25" s="251"/>
      <c r="V25" s="251"/>
      <c r="W25" s="251"/>
      <c r="X25" s="251"/>
      <c r="Y25" s="251"/>
      <c r="Z25" s="251"/>
    </row>
    <row r="26" spans="2:26" x14ac:dyDescent="0.2">
      <c r="B26" s="208" t="s">
        <v>146</v>
      </c>
      <c r="C26" s="43">
        <v>0.1</v>
      </c>
      <c r="E26" s="48" t="s">
        <v>53</v>
      </c>
      <c r="H26" s="242"/>
      <c r="I26" s="242"/>
      <c r="J26" s="242"/>
      <c r="K26" s="242"/>
      <c r="N26" s="251"/>
      <c r="O26" s="251"/>
      <c r="P26" s="251"/>
      <c r="Q26" s="251"/>
      <c r="R26" s="251"/>
      <c r="S26" s="251"/>
      <c r="T26" s="251"/>
      <c r="U26" s="251"/>
      <c r="V26" s="251"/>
      <c r="W26" s="251"/>
      <c r="X26" s="251"/>
      <c r="Y26" s="251"/>
      <c r="Z26" s="251"/>
    </row>
    <row r="27" spans="2:26" ht="20.25" customHeight="1" x14ac:dyDescent="0.2">
      <c r="N27" s="251"/>
      <c r="O27" s="251"/>
      <c r="P27" s="251"/>
      <c r="Q27" s="251"/>
      <c r="R27" s="251"/>
      <c r="S27" s="251"/>
      <c r="T27" s="251"/>
      <c r="U27" s="251"/>
      <c r="V27" s="251"/>
      <c r="W27" s="251"/>
      <c r="X27" s="251"/>
      <c r="Y27" s="251"/>
      <c r="Z27" s="251"/>
    </row>
    <row r="28" spans="2:26" x14ac:dyDescent="0.2">
      <c r="B28" s="48" t="s">
        <v>147</v>
      </c>
      <c r="C28" s="41">
        <v>1.5</v>
      </c>
      <c r="G28" s="48" t="s">
        <v>47</v>
      </c>
      <c r="H28" s="243" t="s">
        <v>48</v>
      </c>
      <c r="I28" s="243"/>
      <c r="J28" s="243"/>
      <c r="K28" s="243"/>
      <c r="L28" s="243"/>
      <c r="N28" s="251"/>
      <c r="O28" s="251"/>
      <c r="P28" s="251"/>
      <c r="Q28" s="251"/>
      <c r="R28" s="251"/>
      <c r="S28" s="251"/>
      <c r="T28" s="251"/>
      <c r="U28" s="251"/>
      <c r="V28" s="251"/>
      <c r="W28" s="251"/>
      <c r="X28" s="251"/>
      <c r="Y28" s="251"/>
      <c r="Z28" s="251"/>
    </row>
    <row r="29" spans="2:26" x14ac:dyDescent="0.2">
      <c r="B29" s="206" t="s">
        <v>216</v>
      </c>
      <c r="H29" s="243"/>
      <c r="I29" s="243"/>
      <c r="J29" s="243"/>
      <c r="K29" s="243"/>
      <c r="L29" s="243"/>
      <c r="N29" s="251"/>
      <c r="O29" s="251"/>
      <c r="P29" s="251"/>
      <c r="Q29" s="251"/>
      <c r="R29" s="251"/>
      <c r="S29" s="251"/>
      <c r="T29" s="251"/>
      <c r="U29" s="251"/>
      <c r="V29" s="251"/>
      <c r="W29" s="251"/>
      <c r="X29" s="251"/>
      <c r="Y29" s="251"/>
      <c r="Z29" s="251"/>
    </row>
    <row r="30" spans="2:26" x14ac:dyDescent="0.2">
      <c r="H30" s="243"/>
      <c r="I30" s="243"/>
      <c r="J30" s="243"/>
      <c r="K30" s="243"/>
      <c r="L30" s="243"/>
      <c r="N30" s="251"/>
      <c r="O30" s="251"/>
      <c r="P30" s="251"/>
      <c r="Q30" s="251"/>
      <c r="R30" s="251"/>
      <c r="S30" s="251"/>
      <c r="T30" s="251"/>
      <c r="U30" s="251"/>
      <c r="V30" s="251"/>
      <c r="W30" s="251"/>
      <c r="X30" s="251"/>
      <c r="Y30" s="251"/>
      <c r="Z30" s="251"/>
    </row>
    <row r="31" spans="2:26" ht="20.25" customHeight="1" x14ac:dyDescent="0.2">
      <c r="N31" s="251"/>
      <c r="O31" s="251"/>
      <c r="P31" s="251"/>
      <c r="Q31" s="251"/>
      <c r="R31" s="251"/>
      <c r="S31" s="251"/>
      <c r="T31" s="251"/>
      <c r="U31" s="251"/>
      <c r="V31" s="251"/>
      <c r="W31" s="251"/>
      <c r="X31" s="251"/>
      <c r="Y31" s="251"/>
      <c r="Z31" s="251"/>
    </row>
    <row r="32" spans="2:26" x14ac:dyDescent="0.2">
      <c r="B32" s="48" t="s">
        <v>54</v>
      </c>
      <c r="N32" s="251"/>
      <c r="O32" s="251"/>
      <c r="P32" s="251"/>
      <c r="Q32" s="251"/>
      <c r="R32" s="251"/>
      <c r="S32" s="251"/>
      <c r="T32" s="251"/>
      <c r="U32" s="251"/>
      <c r="V32" s="251"/>
      <c r="W32" s="251"/>
      <c r="X32" s="251"/>
      <c r="Y32" s="251"/>
      <c r="Z32" s="251"/>
    </row>
    <row r="33" spans="2:26" x14ac:dyDescent="0.2">
      <c r="B33" s="208" t="s">
        <v>55</v>
      </c>
      <c r="C33" s="40">
        <v>825</v>
      </c>
      <c r="E33" s="48" t="s">
        <v>46</v>
      </c>
      <c r="N33" s="251"/>
      <c r="O33" s="251"/>
      <c r="P33" s="251"/>
      <c r="Q33" s="251"/>
      <c r="R33" s="251"/>
      <c r="S33" s="251"/>
      <c r="T33" s="251"/>
      <c r="U33" s="251"/>
      <c r="V33" s="251"/>
      <c r="W33" s="251"/>
      <c r="X33" s="251"/>
      <c r="Y33" s="251"/>
      <c r="Z33" s="251"/>
    </row>
    <row r="34" spans="2:26" ht="20.25" customHeight="1" x14ac:dyDescent="0.2">
      <c r="N34" s="251"/>
      <c r="O34" s="251"/>
      <c r="P34" s="251"/>
      <c r="Q34" s="251"/>
      <c r="R34" s="251"/>
      <c r="S34" s="251"/>
      <c r="T34" s="251"/>
      <c r="U34" s="251"/>
      <c r="V34" s="251"/>
      <c r="W34" s="251"/>
      <c r="X34" s="251"/>
      <c r="Y34" s="251"/>
      <c r="Z34" s="251"/>
    </row>
    <row r="35" spans="2:26" ht="33" customHeight="1" x14ac:dyDescent="0.2">
      <c r="B35" s="201" t="s">
        <v>133</v>
      </c>
      <c r="C35" s="244" t="str">
        <f>'Berechnung MS-AC'!A31</f>
        <v>Arbeiten mit PSAgS der Störlichtbogenschutzklasse 1 (APC1) möglich</v>
      </c>
      <c r="D35" s="244"/>
      <c r="E35" s="244"/>
      <c r="F35" s="244"/>
      <c r="G35" s="244"/>
      <c r="H35" s="244"/>
      <c r="J35" s="245" t="str">
        <f>'Berechnung MS-AC'!$C$31</f>
        <v/>
      </c>
      <c r="K35" s="245"/>
      <c r="L35" s="245"/>
      <c r="M35" s="205"/>
      <c r="N35" s="251"/>
      <c r="O35" s="251"/>
      <c r="P35" s="251"/>
      <c r="Q35" s="251"/>
      <c r="R35" s="251"/>
      <c r="S35" s="251"/>
      <c r="T35" s="251"/>
      <c r="U35" s="251"/>
      <c r="V35" s="251"/>
      <c r="W35" s="251"/>
      <c r="X35" s="251"/>
      <c r="Y35" s="251"/>
      <c r="Z35" s="251"/>
    </row>
    <row r="36" spans="2:26" ht="20.25" customHeight="1" x14ac:dyDescent="0.2"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</row>
    <row r="37" spans="2:26" x14ac:dyDescent="0.2">
      <c r="C37" s="205" t="str">
        <f>'Berechnung MS-AC'!A33</f>
        <v/>
      </c>
      <c r="J37" s="201"/>
      <c r="K37" s="201"/>
      <c r="L37" s="201"/>
      <c r="M37" s="201"/>
      <c r="N37" s="251"/>
      <c r="O37" s="251"/>
      <c r="P37" s="251"/>
      <c r="Q37" s="251"/>
      <c r="R37" s="251"/>
      <c r="S37" s="251"/>
      <c r="T37" s="251"/>
      <c r="U37" s="251"/>
      <c r="V37" s="251"/>
      <c r="W37" s="251"/>
      <c r="X37" s="251"/>
      <c r="Y37" s="251"/>
      <c r="Z37" s="251"/>
    </row>
    <row r="38" spans="2:26" x14ac:dyDescent="0.2">
      <c r="J38" s="201"/>
      <c r="K38" s="201"/>
      <c r="L38" s="201"/>
      <c r="M38" s="201"/>
      <c r="N38" s="251"/>
      <c r="O38" s="251"/>
      <c r="P38" s="251"/>
      <c r="Q38" s="251"/>
      <c r="R38" s="251"/>
      <c r="S38" s="251"/>
      <c r="T38" s="251"/>
      <c r="U38" s="251"/>
      <c r="V38" s="251"/>
      <c r="W38" s="251"/>
      <c r="X38" s="251"/>
      <c r="Y38" s="251"/>
      <c r="Z38" s="251"/>
    </row>
    <row r="39" spans="2:26" ht="33.6" customHeight="1" x14ac:dyDescent="0.2">
      <c r="C39" s="242" t="str">
        <f>'Berechnung MS-AC'!A35</f>
        <v/>
      </c>
      <c r="D39" s="242"/>
      <c r="E39" s="242"/>
      <c r="F39" s="242"/>
      <c r="G39" s="242"/>
      <c r="H39" s="242"/>
      <c r="I39" s="242"/>
      <c r="J39" s="242"/>
      <c r="K39" s="242"/>
      <c r="L39" s="201"/>
      <c r="M39" s="201"/>
      <c r="N39" s="251"/>
      <c r="O39" s="251"/>
      <c r="P39" s="251"/>
      <c r="Q39" s="251"/>
      <c r="R39" s="251"/>
      <c r="S39" s="251"/>
      <c r="T39" s="251"/>
      <c r="U39" s="251"/>
      <c r="V39" s="251"/>
      <c r="W39" s="251"/>
      <c r="X39" s="251"/>
      <c r="Y39" s="251"/>
      <c r="Z39" s="251"/>
    </row>
    <row r="40" spans="2:26" x14ac:dyDescent="0.2">
      <c r="N40" s="251"/>
      <c r="O40" s="251"/>
      <c r="P40" s="251"/>
      <c r="Q40" s="251"/>
      <c r="R40" s="251"/>
      <c r="S40" s="251"/>
      <c r="T40" s="251"/>
      <c r="U40" s="251"/>
      <c r="V40" s="251"/>
      <c r="W40" s="251"/>
      <c r="X40" s="251"/>
      <c r="Y40" s="251"/>
      <c r="Z40" s="251"/>
    </row>
    <row r="41" spans="2:26" ht="33.6" customHeight="1" x14ac:dyDescent="0.2">
      <c r="C41" s="242" t="str">
        <f>'Berechnung MS-AC'!A37</f>
        <v/>
      </c>
      <c r="D41" s="242"/>
      <c r="E41" s="242"/>
      <c r="F41" s="242"/>
      <c r="G41" s="242"/>
      <c r="H41" s="242"/>
      <c r="I41" s="242"/>
      <c r="J41" s="242"/>
      <c r="K41" s="242"/>
      <c r="L41" s="201"/>
      <c r="M41" s="201"/>
      <c r="N41" s="251"/>
      <c r="O41" s="251"/>
      <c r="P41" s="251"/>
      <c r="Q41" s="251"/>
      <c r="R41" s="251"/>
      <c r="S41" s="251"/>
      <c r="T41" s="251"/>
      <c r="U41" s="251"/>
      <c r="V41" s="251"/>
      <c r="W41" s="251"/>
      <c r="X41" s="251"/>
      <c r="Y41" s="251"/>
      <c r="Z41" s="251"/>
    </row>
    <row r="42" spans="2:26" x14ac:dyDescent="0.2">
      <c r="J42" s="201"/>
      <c r="K42" s="201"/>
      <c r="L42" s="201"/>
      <c r="M42" s="201"/>
      <c r="N42" s="251"/>
      <c r="O42" s="251"/>
      <c r="P42" s="251"/>
      <c r="Q42" s="251"/>
      <c r="R42" s="251"/>
      <c r="S42" s="251"/>
      <c r="T42" s="251"/>
      <c r="U42" s="251"/>
      <c r="V42" s="251"/>
      <c r="W42" s="251"/>
      <c r="X42" s="251"/>
      <c r="Y42" s="251"/>
      <c r="Z42" s="251"/>
    </row>
    <row r="43" spans="2:26" x14ac:dyDescent="0.2">
      <c r="J43" s="201"/>
      <c r="K43" s="201"/>
      <c r="L43" s="201"/>
      <c r="M43" s="201"/>
    </row>
  </sheetData>
  <sheetProtection algorithmName="SHA-512" hashValue="T1o9tp9epBJoWRnd1dMS2XPICV8OJnM3SPOu3MDm1iEOsFVjhuqnKvm2aPU0zurUQ4OtI8fb6nbnYVgziITQyg==" saltValue="xSU9eVfqyyC7SySx8MYUGA==" spinCount="100000" sheet="1" objects="1" selectLockedCells="1"/>
  <mergeCells count="18">
    <mergeCell ref="N3:Z42"/>
    <mergeCell ref="C41:K41"/>
    <mergeCell ref="C39:K39"/>
    <mergeCell ref="C13:H13"/>
    <mergeCell ref="C11:H11"/>
    <mergeCell ref="H21:M22"/>
    <mergeCell ref="H15:L16"/>
    <mergeCell ref="K1:L2"/>
    <mergeCell ref="K4:L5"/>
    <mergeCell ref="H25:K26"/>
    <mergeCell ref="H28:L30"/>
    <mergeCell ref="C35:H35"/>
    <mergeCell ref="J35:L35"/>
    <mergeCell ref="C23:H23"/>
    <mergeCell ref="K6:L6"/>
    <mergeCell ref="C4:H5"/>
    <mergeCell ref="C8:H9"/>
    <mergeCell ref="K8:L8"/>
  </mergeCells>
  <conditionalFormatting sqref="C35">
    <cfRule type="cellIs" dxfId="7" priority="17" operator="equal">
      <formula>"Arbeiten mit Kleidung der Störlichtbogenklasse 2 möglich"</formula>
    </cfRule>
    <cfRule type="cellIs" dxfId="6" priority="18" operator="equal">
      <formula>"Arbeiten mit Kleidung der Störlichtbogenklasse 1 möglich"</formula>
    </cfRule>
    <cfRule type="cellIs" dxfId="5" priority="19" operator="equal">
      <formula>"Freischalten oder weitere Maßnahmen ergreifen"</formula>
    </cfRule>
  </conditionalFormatting>
  <conditionalFormatting sqref="J35">
    <cfRule type="cellIs" dxfId="1" priority="16" operator="equal">
      <formula>"Risikobewertung durchführen"</formula>
    </cfRule>
  </conditionalFormatting>
  <conditionalFormatting sqref="J35:L35">
    <cfRule type="cellIs" dxfId="0" priority="13" operator="equal">
      <formula>""</formula>
    </cfRule>
  </conditionalFormatting>
  <hyperlinks>
    <hyperlink ref="J35:L35" location="'Risikobewertung AC'!Druckbereich" display="'Risikobewertung AC'!Druckbereich" xr:uid="{00000000-0004-0000-0000-000000000000}"/>
    <hyperlink ref="J11" r:id="rId1" display="FAQ J4" xr:uid="{BE6442D0-5519-47E4-828C-FDC77CA72A9E}"/>
  </hyperlinks>
  <printOptions horizontalCentered="1"/>
  <pageMargins left="0.39370078740157483" right="0.39370078740157483" top="1.1811023622047245" bottom="1.1811023622047245" header="0.59055118110236227" footer="0.39370078740157483"/>
  <pageSetup paperSize="9" scale="96" orientation="portrait" horizontalDpi="4294967292" verticalDpi="4294967292" r:id="rId2"/>
  <headerFooter alignWithMargins="0">
    <oddHeader>&amp;C&amp;"Arial,Fett"&amp;16&amp;K000000Formular zur Berechnung der PSA-Störlichtbogenklasse</oddHeader>
    <oddFooter>&amp;L&amp;K000000DGUV-I 203-077&amp;R&amp;K000000&amp;D</oddFooter>
  </headerFooter>
  <drawing r:id="rId3"/>
  <legacyDrawing r:id="rId4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3F1F80D-A911-42DC-ACBE-70C407028B5E}">
            <xm:f>'Rechnung_ausgeblendet für User'!$D$33&lt;&gt;2</xm:f>
            <x14:dxf>
              <font>
                <strike val="0"/>
                <color theme="5" tint="0.79998168889431442"/>
              </font>
              <fill>
                <patternFill>
                  <bgColor theme="5" tint="0.79998168889431442"/>
                </patternFill>
              </fill>
            </x14:dxf>
          </x14:cfRule>
          <xm:sqref>B13:C13</xm:sqref>
        </x14:conditionalFormatting>
        <x14:conditionalFormatting xmlns:xm="http://schemas.microsoft.com/office/excel/2006/main">
          <x14:cfRule type="expression" priority="11" id="{E5D85EA5-6E7D-4A71-A44E-6B5D80AAC1B0}">
            <xm:f>'Rechnung_ausgeblendet für User'!$D$33&lt;3</xm:f>
            <x14:dxf>
              <font>
                <strike val="0"/>
                <color theme="5" tint="0.79998168889431442"/>
              </font>
            </x14:dxf>
          </x14:cfRule>
          <xm:sqref>B21:F21</xm:sqref>
        </x14:conditionalFormatting>
        <x14:conditionalFormatting xmlns:xm="http://schemas.microsoft.com/office/excel/2006/main">
          <x14:cfRule type="expression" priority="9" id="{11AAED24-75D6-4327-A966-F0479A16AC7C}">
            <xm:f>'Rechnung_ausgeblendet für User'!$D$33&lt;3</xm:f>
            <x14:dxf>
              <font>
                <color theme="5" tint="0.79998168889431442"/>
              </font>
              <fill>
                <patternFill>
                  <bgColor theme="5" tint="0.79998168889431442"/>
                </patternFill>
              </fill>
            </x14:dxf>
          </x14:cfRule>
          <xm:sqref>C15</xm:sqref>
        </x14:conditionalFormatting>
        <x14:conditionalFormatting xmlns:xm="http://schemas.microsoft.com/office/excel/2006/main">
          <x14:cfRule type="expression" priority="10" id="{736843A8-10F1-4B48-A60A-764472E083ED}">
            <xm:f>'Rechnung_ausgeblendet für User'!$D$33&lt;3</xm:f>
            <x14:dxf>
              <fill>
                <patternFill>
                  <bgColor theme="5" tint="0.79998168889431442"/>
                </patternFill>
              </fill>
            </x14:dxf>
          </x14:cfRule>
          <xm:sqref>C21</xm:sqref>
        </x14:conditionalFormatting>
        <x14:conditionalFormatting xmlns:xm="http://schemas.microsoft.com/office/excel/2006/main">
          <x14:cfRule type="expression" priority="8" id="{F65206C8-C12A-4A46-9998-8370CCB301CC}">
            <xm:f>'Rechnung_ausgeblendet für User'!$D$33&lt;3</xm:f>
            <x14:dxf>
              <font>
                <color theme="5" tint="0.79998168889431442"/>
              </font>
            </x14:dxf>
          </x14:cfRule>
          <xm:sqref>E15</xm:sqref>
        </x14:conditionalFormatting>
        <x14:conditionalFormatting xmlns:xm="http://schemas.microsoft.com/office/excel/2006/main">
          <x14:cfRule type="expression" priority="7" id="{2F4520A1-4FCA-4F90-B387-A6B2AAFBA26C}">
            <xm:f>'Rechnung_ausgeblendet für User'!$D$33=3</xm:f>
            <x14:dxf>
              <font>
                <color theme="5" tint="0.79998168889431442"/>
              </font>
              <fill>
                <patternFill>
                  <bgColor theme="5" tint="0.79998168889431442"/>
                </patternFill>
              </fill>
            </x14:dxf>
          </x14:cfRule>
          <xm:sqref>F15</xm:sqref>
        </x14:conditionalFormatting>
        <x14:conditionalFormatting xmlns:xm="http://schemas.microsoft.com/office/excel/2006/main">
          <x14:cfRule type="expression" priority="6" id="{8A1EDBAA-7FDF-4AE0-8031-728BD37954BD}">
            <xm:f>'Rechnung_ausgeblendet für User'!$D$33=3</xm:f>
            <x14:dxf>
              <font>
                <color theme="5" tint="0.79998168889431442"/>
              </font>
            </x14:dxf>
          </x14:cfRule>
          <xm:sqref>G15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Auswahl" prompt="Wählen Sie die Berechnungsmethode aus" xr:uid="{8CFB79DF-AA8E-4E24-8EDE-508D77AC683A}">
          <x14:formula1>
            <xm:f>'Rechnung_ausgeblendet für User'!$D$25:$D$27</xm:f>
          </x14:formula1>
          <xm:sqref>C11:H11</xm:sqref>
        </x14:dataValidation>
        <x14:dataValidation type="list" allowBlank="1" showInputMessage="1" showErrorMessage="1" promptTitle="Auswahl" prompt="Wählen Sie die Spannungsebene aus" xr:uid="{C1A3692D-35E5-4F4B-A25B-E81D207137B5}">
          <x14:formula1>
            <xm:f>'Rechnung_ausgeblendet für User'!$D$35:$D$37</xm:f>
          </x14:formula1>
          <xm:sqref>F15</xm:sqref>
        </x14:dataValidation>
        <x14:dataValidation type="list" allowBlank="1" showInputMessage="1" showErrorMessage="1" promptTitle="Auswahl" prompt="Wählen Sie den Arbeitsort aus" xr:uid="{196BF632-1CDF-4786-B5A9-FF5556C4C6D5}">
          <x14:formula1>
            <xm:f>'Rechnung_ausgeblendet für User'!$D$47:$D$48</xm:f>
          </x14:formula1>
          <xm:sqref>C13:H13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7">
    <tabColor theme="7"/>
  </sheetPr>
  <dimension ref="B2:G17"/>
  <sheetViews>
    <sheetView showGridLines="0" showRowColHeaders="0" workbookViewId="0">
      <selection activeCell="N7" sqref="N7"/>
    </sheetView>
  </sheetViews>
  <sheetFormatPr baseColWidth="10" defaultColWidth="11.42578125" defaultRowHeight="15" x14ac:dyDescent="0.25"/>
  <cols>
    <col min="1" max="1" width="4.28515625" customWidth="1"/>
  </cols>
  <sheetData>
    <row r="2" spans="2:7" x14ac:dyDescent="0.25">
      <c r="B2" s="223" t="s">
        <v>242</v>
      </c>
      <c r="C2" s="223"/>
      <c r="D2" s="223"/>
    </row>
    <row r="4" spans="2:7" ht="15.75" x14ac:dyDescent="0.25">
      <c r="B4" s="14" t="str">
        <f>"Legende der Bewertungspunkte für "&amp;B12</f>
        <v>Legende der Bewertungspunkte für e) Statistische Einflussfaktoren:</v>
      </c>
      <c r="C4" s="10"/>
      <c r="D4" s="10"/>
      <c r="E4" s="10"/>
      <c r="F4" s="15"/>
      <c r="G4" s="15"/>
    </row>
    <row r="5" spans="2:7" ht="15.75" x14ac:dyDescent="0.25">
      <c r="B5" s="23">
        <v>0</v>
      </c>
      <c r="C5" s="9" t="s">
        <v>27</v>
      </c>
      <c r="D5" s="9"/>
      <c r="E5" s="9"/>
    </row>
    <row r="6" spans="2:7" ht="15.75" x14ac:dyDescent="0.25">
      <c r="B6" s="24">
        <v>2</v>
      </c>
      <c r="C6" s="9" t="s">
        <v>28</v>
      </c>
      <c r="D6" s="9"/>
      <c r="E6" s="9"/>
    </row>
    <row r="7" spans="2:7" ht="15.75" x14ac:dyDescent="0.25">
      <c r="B7" s="24">
        <v>4</v>
      </c>
      <c r="C7" s="9" t="s">
        <v>29</v>
      </c>
      <c r="D7" s="9"/>
      <c r="E7" s="9"/>
    </row>
    <row r="8" spans="2:7" ht="15.75" x14ac:dyDescent="0.25">
      <c r="B8" s="24">
        <v>7</v>
      </c>
      <c r="C8" s="9" t="s">
        <v>30</v>
      </c>
      <c r="D8" s="9"/>
    </row>
    <row r="9" spans="2:7" ht="15.75" x14ac:dyDescent="0.25">
      <c r="B9" s="24">
        <v>10</v>
      </c>
      <c r="C9" s="9" t="s">
        <v>31</v>
      </c>
      <c r="D9" s="9"/>
      <c r="E9" s="9"/>
    </row>
    <row r="10" spans="2:7" ht="15.75" x14ac:dyDescent="0.25">
      <c r="B10" s="25" t="s">
        <v>140</v>
      </c>
      <c r="C10" s="9" t="s">
        <v>139</v>
      </c>
      <c r="D10" s="9"/>
      <c r="E10" s="9"/>
    </row>
    <row r="11" spans="2:7" x14ac:dyDescent="0.25">
      <c r="B11" s="1"/>
    </row>
    <row r="12" spans="2:7" x14ac:dyDescent="0.25">
      <c r="B12" s="8" t="s">
        <v>89</v>
      </c>
    </row>
    <row r="13" spans="2:7" x14ac:dyDescent="0.25">
      <c r="B13" s="1"/>
    </row>
    <row r="14" spans="2:7" x14ac:dyDescent="0.25">
      <c r="B14" s="20" t="s">
        <v>127</v>
      </c>
    </row>
    <row r="15" spans="2:7" x14ac:dyDescent="0.25">
      <c r="B15" s="18"/>
    </row>
    <row r="16" spans="2:7" x14ac:dyDescent="0.25">
      <c r="B16" s="19" t="s">
        <v>128</v>
      </c>
    </row>
    <row r="17" spans="2:2" x14ac:dyDescent="0.25">
      <c r="B17" s="19" t="s">
        <v>129</v>
      </c>
    </row>
  </sheetData>
  <sheetProtection algorithmName="SHA-512" hashValue="i156VvkBJfBDCQqSD6O4p6uVGuDRh6aSeKm853hUaWEW+Dcp0w1RltTWKQ5iEjiAUiA8zgjHPUfRBWK2ZhZ3Sg==" saltValue="prj8nWZZq5mnAUFa5qN+ZQ==" spinCount="100000" sheet="1" objects="1" scenarios="1"/>
  <hyperlinks>
    <hyperlink ref="B2" location="'Risikobewertung MS-AC'!A1" display="zurück AC" xr:uid="{FEC0826A-A294-4B84-A4B2-3BE3E94F9BD9}"/>
  </hyperlinks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8">
    <tabColor theme="7"/>
  </sheetPr>
  <dimension ref="B2:G26"/>
  <sheetViews>
    <sheetView showGridLines="0" showRowColHeaders="0" workbookViewId="0">
      <selection activeCell="K20" sqref="K20"/>
    </sheetView>
  </sheetViews>
  <sheetFormatPr baseColWidth="10" defaultRowHeight="15" x14ac:dyDescent="0.25"/>
  <cols>
    <col min="1" max="1" width="4.28515625" customWidth="1"/>
    <col min="2" max="2" width="12.28515625" customWidth="1"/>
  </cols>
  <sheetData>
    <row r="2" spans="2:7" x14ac:dyDescent="0.25">
      <c r="B2" s="223" t="s">
        <v>242</v>
      </c>
      <c r="C2" s="223"/>
      <c r="D2" s="223"/>
    </row>
    <row r="4" spans="2:7" ht="15.75" x14ac:dyDescent="0.25">
      <c r="B4" s="14" t="str">
        <f>"Legende der Bewertungspunkte für "&amp;B12</f>
        <v>Legende der Bewertungspunkte für f) Ergonomische Einflussfaktoren:</v>
      </c>
      <c r="C4" s="10"/>
      <c r="D4" s="10"/>
      <c r="E4" s="10"/>
      <c r="F4" s="15"/>
      <c r="G4" s="15"/>
    </row>
    <row r="5" spans="2:7" ht="15.75" x14ac:dyDescent="0.25">
      <c r="B5" s="23">
        <v>0</v>
      </c>
      <c r="C5" s="9" t="s">
        <v>27</v>
      </c>
      <c r="D5" s="9"/>
      <c r="E5" s="9"/>
    </row>
    <row r="6" spans="2:7" ht="15.75" x14ac:dyDescent="0.25">
      <c r="B6" s="24">
        <v>2</v>
      </c>
      <c r="C6" s="9" t="s">
        <v>28</v>
      </c>
      <c r="D6" s="9"/>
      <c r="E6" s="9"/>
    </row>
    <row r="7" spans="2:7" ht="15.75" x14ac:dyDescent="0.25">
      <c r="B7" s="24">
        <v>4</v>
      </c>
      <c r="C7" s="9" t="s">
        <v>29</v>
      </c>
      <c r="D7" s="9"/>
      <c r="E7" s="9"/>
    </row>
    <row r="8" spans="2:7" ht="15.75" x14ac:dyDescent="0.25">
      <c r="B8" s="24">
        <v>7</v>
      </c>
      <c r="C8" s="9" t="s">
        <v>30</v>
      </c>
      <c r="D8" s="9"/>
    </row>
    <row r="9" spans="2:7" ht="15.75" x14ac:dyDescent="0.25">
      <c r="B9" s="24">
        <v>10</v>
      </c>
      <c r="C9" s="9" t="s">
        <v>31</v>
      </c>
      <c r="D9" s="9"/>
      <c r="E9" s="9"/>
    </row>
    <row r="10" spans="2:7" ht="15.75" x14ac:dyDescent="0.25">
      <c r="B10" s="25" t="s">
        <v>140</v>
      </c>
      <c r="C10" s="9" t="s">
        <v>139</v>
      </c>
      <c r="D10" s="9"/>
      <c r="E10" s="9"/>
    </row>
    <row r="11" spans="2:7" x14ac:dyDescent="0.25">
      <c r="B11" s="5"/>
      <c r="C11" s="4"/>
    </row>
    <row r="12" spans="2:7" x14ac:dyDescent="0.25">
      <c r="B12" s="3" t="s">
        <v>90</v>
      </c>
      <c r="C12" s="4"/>
    </row>
    <row r="13" spans="2:7" x14ac:dyDescent="0.25">
      <c r="B13" s="5"/>
      <c r="C13" s="4"/>
    </row>
    <row r="14" spans="2:7" x14ac:dyDescent="0.25">
      <c r="B14" s="20" t="s">
        <v>130</v>
      </c>
      <c r="C14" s="4"/>
    </row>
    <row r="15" spans="2:7" x14ac:dyDescent="0.25">
      <c r="B15" s="18"/>
      <c r="C15" s="4"/>
    </row>
    <row r="16" spans="2:7" x14ac:dyDescent="0.25">
      <c r="B16" s="19" t="s">
        <v>131</v>
      </c>
      <c r="C16" s="4"/>
    </row>
    <row r="17" spans="2:5" x14ac:dyDescent="0.25">
      <c r="B17" s="21" t="s">
        <v>17</v>
      </c>
      <c r="C17" s="4"/>
    </row>
    <row r="18" spans="2:5" x14ac:dyDescent="0.25">
      <c r="B18" s="21" t="s">
        <v>18</v>
      </c>
      <c r="C18" s="4"/>
    </row>
    <row r="19" spans="2:5" x14ac:dyDescent="0.25">
      <c r="B19" s="19" t="s">
        <v>132</v>
      </c>
      <c r="C19" s="4"/>
    </row>
    <row r="20" spans="2:5" x14ac:dyDescent="0.25">
      <c r="B20" s="21" t="s">
        <v>19</v>
      </c>
      <c r="C20" s="4"/>
    </row>
    <row r="21" spans="2:5" x14ac:dyDescent="0.25">
      <c r="B21" s="4"/>
      <c r="C21" s="4"/>
    </row>
    <row r="22" spans="2:5" x14ac:dyDescent="0.25">
      <c r="B22" s="4"/>
      <c r="C22" s="4"/>
    </row>
    <row r="23" spans="2:5" x14ac:dyDescent="0.25">
      <c r="B23" s="4"/>
      <c r="C23" s="4"/>
    </row>
    <row r="24" spans="2:5" x14ac:dyDescent="0.25">
      <c r="B24" s="4"/>
      <c r="C24" s="4"/>
    </row>
    <row r="25" spans="2:5" x14ac:dyDescent="0.25">
      <c r="B25" s="4"/>
      <c r="C25" s="4"/>
      <c r="E25" s="2"/>
    </row>
    <row r="26" spans="2:5" x14ac:dyDescent="0.25">
      <c r="B26" s="4"/>
      <c r="C26" s="4"/>
    </row>
  </sheetData>
  <sheetProtection algorithmName="SHA-512" hashValue="OzGPu9/lCG7WdQIl3glVGWqJN3lTzayKLR+67f4qdzDuQkwJcPbktckCVdDLmulY+DJRGfJciIpjiCsI2Fz/Sg==" saltValue="2Flz3JwUIFH4CcCOHbpaew==" spinCount="100000" sheet="1" objects="1" scenarios="1"/>
  <hyperlinks>
    <hyperlink ref="B2" location="'Risikobewertung MS-AC'!A1" display="zurück AC" xr:uid="{C084708E-281C-49E0-81AC-815F2C097FB5}"/>
  </hyperlink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theme="5" tint="0.79998168889431442"/>
    <pageSetUpPr fitToPage="1"/>
  </sheetPr>
  <dimension ref="A1:K37"/>
  <sheetViews>
    <sheetView showGridLines="0" zoomScale="75" zoomScaleNormal="75" workbookViewId="0">
      <selection activeCell="G3" sqref="G3"/>
    </sheetView>
  </sheetViews>
  <sheetFormatPr baseColWidth="10" defaultColWidth="11.42578125" defaultRowHeight="12.75" x14ac:dyDescent="0.2"/>
  <cols>
    <col min="1" max="1" width="71.85546875" style="49" customWidth="1"/>
    <col min="2" max="2" width="12.7109375" style="49" customWidth="1"/>
    <col min="3" max="3" width="57.140625" style="49" bestFit="1" customWidth="1"/>
    <col min="4" max="4" width="18.85546875" style="49" bestFit="1" customWidth="1"/>
    <col min="5" max="5" width="16.7109375" style="49" customWidth="1"/>
    <col min="6" max="16384" width="11.42578125" style="49"/>
  </cols>
  <sheetData>
    <row r="1" spans="1:5" ht="30" customHeight="1" thickBot="1" x14ac:dyDescent="0.25">
      <c r="A1" s="224" t="s">
        <v>265</v>
      </c>
      <c r="B1" s="225" t="str">
        <f>'Rechnung_ausgeblendet für User'!$D$28</f>
        <v>Richtwerte für 10-kV- und 20-kV-Schaltanlagen</v>
      </c>
      <c r="C1" s="226"/>
      <c r="D1" s="53" t="s">
        <v>57</v>
      </c>
      <c r="E1" s="54" t="s">
        <v>58</v>
      </c>
    </row>
    <row r="2" spans="1:5" ht="30" customHeight="1" x14ac:dyDescent="0.2">
      <c r="A2" s="32" t="s">
        <v>59</v>
      </c>
      <c r="B2" s="55" t="s">
        <v>60</v>
      </c>
      <c r="C2" s="56"/>
      <c r="D2" s="57" t="s">
        <v>148</v>
      </c>
      <c r="E2" s="215">
        <f>'Rechnung_ausgeblendet für User'!$B$3</f>
        <v>10</v>
      </c>
    </row>
    <row r="3" spans="1:5" ht="30" customHeight="1" x14ac:dyDescent="0.2">
      <c r="A3" s="32" t="s">
        <v>61</v>
      </c>
      <c r="B3" s="55" t="s">
        <v>62</v>
      </c>
      <c r="C3" s="59"/>
      <c r="D3" s="61" t="s">
        <v>149</v>
      </c>
      <c r="E3" s="62">
        <f>'User MS-AC'!C17</f>
        <v>13</v>
      </c>
    </row>
    <row r="4" spans="1:5" ht="30" customHeight="1" thickBot="1" x14ac:dyDescent="0.25">
      <c r="A4" s="58"/>
      <c r="B4" s="55" t="s">
        <v>63</v>
      </c>
      <c r="C4" s="59"/>
      <c r="D4" s="60" t="s">
        <v>150</v>
      </c>
      <c r="E4" s="62">
        <f>'User MS-AC'!C19</f>
        <v>12</v>
      </c>
    </row>
    <row r="5" spans="1:5" ht="30" customHeight="1" x14ac:dyDescent="0.2">
      <c r="A5" s="31" t="s">
        <v>261</v>
      </c>
      <c r="B5" s="260"/>
      <c r="C5" s="261"/>
      <c r="D5" s="57" t="s">
        <v>151</v>
      </c>
      <c r="E5" s="63">
        <v>1</v>
      </c>
    </row>
    <row r="6" spans="1:5" ht="30" customHeight="1" x14ac:dyDescent="0.2">
      <c r="A6" s="58" t="s">
        <v>64</v>
      </c>
      <c r="B6" s="262" t="s">
        <v>152</v>
      </c>
      <c r="C6" s="263"/>
      <c r="D6" s="64" t="s">
        <v>153</v>
      </c>
      <c r="E6" s="65">
        <f>E5*E4</f>
        <v>12</v>
      </c>
    </row>
    <row r="7" spans="1:5" ht="30" customHeight="1" thickBot="1" x14ac:dyDescent="0.25">
      <c r="A7" s="66" t="s">
        <v>262</v>
      </c>
      <c r="B7" s="264"/>
      <c r="C7" s="265"/>
      <c r="D7" s="67" t="s">
        <v>154</v>
      </c>
      <c r="E7" s="68">
        <f>'User MS-AC'!C26</f>
        <v>0.1</v>
      </c>
    </row>
    <row r="8" spans="1:5" ht="30" customHeight="1" thickBot="1" x14ac:dyDescent="0.25">
      <c r="A8" s="58" t="s">
        <v>65</v>
      </c>
      <c r="B8" s="256" t="s">
        <v>155</v>
      </c>
      <c r="C8" s="257"/>
      <c r="D8" s="36" t="s">
        <v>156</v>
      </c>
      <c r="E8" s="69">
        <f>SQRT(3)*E2*E3</f>
        <v>225.16660498395402</v>
      </c>
    </row>
    <row r="9" spans="1:5" ht="30" customHeight="1" thickBot="1" x14ac:dyDescent="0.25">
      <c r="A9" s="70" t="s">
        <v>263</v>
      </c>
      <c r="B9" s="266"/>
      <c r="C9" s="267"/>
      <c r="D9" s="30" t="s">
        <v>157</v>
      </c>
      <c r="E9" s="229">
        <f>IF('Rechnung_ausgeblendet für User'!D33=1,'Rechnung_ausgeblendet für User'!B9,IF('Rechnung_ausgeblendet für User'!D33=2,'Rechnung_ausgeblendet für User'!B14,'Rechnung_ausgeblendet für User'!B21))</f>
        <v>0.04</v>
      </c>
    </row>
    <row r="10" spans="1:5" ht="30" customHeight="1" thickBot="1" x14ac:dyDescent="0.25">
      <c r="A10" s="70" t="s">
        <v>66</v>
      </c>
      <c r="B10" s="256" t="s">
        <v>158</v>
      </c>
      <c r="C10" s="257"/>
      <c r="D10" s="30" t="s">
        <v>159</v>
      </c>
      <c r="E10" s="71">
        <f>E9*E8</f>
        <v>9.0066641993581609</v>
      </c>
    </row>
    <row r="11" spans="1:5" ht="30" customHeight="1" thickBot="1" x14ac:dyDescent="0.25">
      <c r="A11" s="66" t="s">
        <v>33</v>
      </c>
      <c r="B11" s="256" t="s">
        <v>259</v>
      </c>
      <c r="C11" s="257"/>
      <c r="D11" s="72" t="s">
        <v>160</v>
      </c>
      <c r="E11" s="73">
        <f>E9*E8*E7*1000</f>
        <v>900.66641993581607</v>
      </c>
    </row>
    <row r="12" spans="1:5" ht="30" customHeight="1" x14ac:dyDescent="0.2">
      <c r="A12" s="258" t="s">
        <v>161</v>
      </c>
      <c r="B12" s="74"/>
      <c r="C12" s="56"/>
      <c r="D12" s="75" t="s">
        <v>201</v>
      </c>
      <c r="E12" s="76">
        <v>320</v>
      </c>
    </row>
    <row r="13" spans="1:5" ht="30" customHeight="1" thickBot="1" x14ac:dyDescent="0.25">
      <c r="A13" s="259"/>
      <c r="B13" s="77"/>
      <c r="C13" s="78"/>
      <c r="D13" s="72" t="s">
        <v>202</v>
      </c>
      <c r="E13" s="73">
        <v>168</v>
      </c>
    </row>
    <row r="14" spans="1:5" ht="30" customHeight="1" x14ac:dyDescent="0.2">
      <c r="A14" s="32" t="s">
        <v>68</v>
      </c>
      <c r="B14" s="56" t="s">
        <v>32</v>
      </c>
      <c r="C14" s="79"/>
      <c r="D14" s="80" t="s">
        <v>162</v>
      </c>
      <c r="E14" s="81">
        <f>'User MS-AC'!C28</f>
        <v>1.5</v>
      </c>
    </row>
    <row r="15" spans="1:5" ht="30" customHeight="1" thickBot="1" x14ac:dyDescent="0.25">
      <c r="A15" s="32" t="s">
        <v>69</v>
      </c>
      <c r="B15" s="78" t="s">
        <v>70</v>
      </c>
      <c r="C15" s="82"/>
      <c r="D15" s="72" t="s">
        <v>71</v>
      </c>
      <c r="E15" s="83">
        <f>'User MS-AC'!C33</f>
        <v>825</v>
      </c>
    </row>
    <row r="16" spans="1:5" ht="30" customHeight="1" x14ac:dyDescent="0.2">
      <c r="A16" s="258" t="s">
        <v>67</v>
      </c>
      <c r="B16" s="59" t="s">
        <v>163</v>
      </c>
      <c r="C16" s="59"/>
      <c r="D16" s="80" t="s">
        <v>193</v>
      </c>
      <c r="E16" s="84">
        <f>E14*(E15/300)^2*E12</f>
        <v>3630</v>
      </c>
    </row>
    <row r="17" spans="1:11" ht="30" customHeight="1" thickBot="1" x14ac:dyDescent="0.25">
      <c r="A17" s="259"/>
      <c r="B17" s="85"/>
      <c r="C17" s="78"/>
      <c r="D17" s="86" t="s">
        <v>194</v>
      </c>
      <c r="E17" s="87">
        <f>E14*(E15/300)^2*E13</f>
        <v>1905.75</v>
      </c>
    </row>
    <row r="18" spans="1:11" ht="13.5" thickBot="1" x14ac:dyDescent="0.25"/>
    <row r="19" spans="1:11" ht="21" x14ac:dyDescent="0.25">
      <c r="A19" s="88"/>
      <c r="B19" s="89"/>
      <c r="C19" s="90" t="s">
        <v>72</v>
      </c>
      <c r="D19" s="80" t="s">
        <v>197</v>
      </c>
      <c r="E19" s="91">
        <f>(E12*$E$14)/(((300/$E$15)^2)*$E$9*$E$8)/1000</f>
        <v>0.40303489945352727</v>
      </c>
    </row>
    <row r="20" spans="1:11" ht="18" x14ac:dyDescent="0.25">
      <c r="A20" s="92"/>
      <c r="B20" s="29"/>
      <c r="C20" s="93"/>
      <c r="D20" s="94"/>
      <c r="E20" s="95"/>
    </row>
    <row r="21" spans="1:11" ht="21" x14ac:dyDescent="0.25">
      <c r="A21" s="92"/>
      <c r="B21" s="29"/>
      <c r="C21" s="93" t="s">
        <v>73</v>
      </c>
      <c r="D21" s="64" t="s">
        <v>198</v>
      </c>
      <c r="E21" s="96">
        <f>(E13*$E$14)/(((300/$E$15)^2)*$E$9*$E$8)/1000</f>
        <v>0.21159332221310179</v>
      </c>
    </row>
    <row r="22" spans="1:11" ht="18" x14ac:dyDescent="0.25">
      <c r="A22" s="92"/>
      <c r="B22" s="29"/>
      <c r="C22" s="93"/>
      <c r="D22" s="94"/>
      <c r="E22" s="95"/>
    </row>
    <row r="23" spans="1:11" ht="21" x14ac:dyDescent="0.25">
      <c r="A23" s="92"/>
      <c r="B23" s="29"/>
      <c r="C23" s="93" t="s">
        <v>74</v>
      </c>
      <c r="D23" s="64" t="s">
        <v>199</v>
      </c>
      <c r="E23" s="97">
        <f>300/SQRT((E12*1000*$E$14)/($E$9*$E$8*$E$7*1000000))</f>
        <v>410.94397883162316</v>
      </c>
    </row>
    <row r="24" spans="1:11" ht="18" x14ac:dyDescent="0.25">
      <c r="A24" s="92"/>
      <c r="B24" s="29"/>
      <c r="C24" s="93"/>
      <c r="D24" s="94"/>
      <c r="E24" s="95"/>
    </row>
    <row r="25" spans="1:11" ht="21.75" thickBot="1" x14ac:dyDescent="0.3">
      <c r="A25" s="98"/>
      <c r="B25" s="99"/>
      <c r="C25" s="100" t="s">
        <v>75</v>
      </c>
      <c r="D25" s="72" t="s">
        <v>200</v>
      </c>
      <c r="E25" s="101">
        <f>300/SQRT((E13*1000*$E$14)/($E$9*$E$8*$E$7*1000000))</f>
        <v>567.15657322163315</v>
      </c>
    </row>
    <row r="26" spans="1:11" ht="18.75" thickBot="1" x14ac:dyDescent="0.3">
      <c r="C26" s="50"/>
      <c r="D26" s="51"/>
      <c r="E26" s="52"/>
    </row>
    <row r="27" spans="1:11" ht="21" x14ac:dyDescent="0.35">
      <c r="A27" s="102" t="s">
        <v>164</v>
      </c>
      <c r="B27" s="89"/>
      <c r="C27" s="90" t="s">
        <v>165</v>
      </c>
      <c r="D27" s="80" t="s">
        <v>195</v>
      </c>
      <c r="E27" s="103">
        <f>E11/E16</f>
        <v>0.24811747105669865</v>
      </c>
    </row>
    <row r="28" spans="1:11" ht="18" x14ac:dyDescent="0.25">
      <c r="A28" s="104"/>
      <c r="B28" s="29"/>
      <c r="C28" s="93"/>
      <c r="D28" s="64"/>
      <c r="E28" s="105"/>
    </row>
    <row r="29" spans="1:11" ht="21.75" thickBot="1" x14ac:dyDescent="0.4">
      <c r="A29" s="98"/>
      <c r="B29" s="99"/>
      <c r="C29" s="100" t="s">
        <v>166</v>
      </c>
      <c r="D29" s="72" t="s">
        <v>196</v>
      </c>
      <c r="E29" s="106">
        <f>E11/E17</f>
        <v>0.4726047067746641</v>
      </c>
    </row>
    <row r="30" spans="1:11" ht="13.5" thickBot="1" x14ac:dyDescent="0.25"/>
    <row r="31" spans="1:11" ht="18" x14ac:dyDescent="0.2">
      <c r="A31" s="31" t="str">
        <f>IF(E2=FALSE,"Berechnung nicht möglich - Spannungsebene auswählen",IF($E$11&lt;50,"Keine PSAgS erforderlich",IF($E$16&lt;$E$11,"Freischalten oder weitere Maßnahmen ergreifen",IF($E$11&lt;$E$17,"Arbeiten mit PSAgS der Störlichtbogenschutzklasse 1 (APC1) möglich","Arbeiten mit PSAgS der Störlichtbogenschutzklasse 2 (APC2) möglich"))))</f>
        <v>Arbeiten mit PSAgS der Störlichtbogenschutzklasse 1 (APC1) möglich</v>
      </c>
      <c r="B31" s="107"/>
      <c r="C31" s="107" t="str">
        <f>IF($E$16&lt;$E$11,"Risikobewertung durchführen",IF($E$11&lt;$E$17,"",""))</f>
        <v/>
      </c>
      <c r="D31" s="89"/>
      <c r="E31" s="89"/>
      <c r="F31" s="89"/>
      <c r="G31" s="89"/>
      <c r="H31" s="89"/>
      <c r="I31" s="89"/>
      <c r="J31" s="89"/>
      <c r="K31" s="108"/>
    </row>
    <row r="32" spans="1:11" ht="18" x14ac:dyDescent="0.2">
      <c r="A32" s="32"/>
      <c r="B32" s="109"/>
      <c r="C32" s="109"/>
      <c r="D32" s="29"/>
      <c r="E32" s="29"/>
      <c r="F32" s="29"/>
      <c r="G32" s="29"/>
      <c r="H32" s="29"/>
      <c r="I32" s="29"/>
      <c r="J32" s="29"/>
      <c r="K32" s="110"/>
    </row>
    <row r="33" spans="1:11" ht="18" x14ac:dyDescent="0.2">
      <c r="A33" s="32" t="str">
        <f>IF($E$16&lt;$E$11,"Folgende Maßnahmen würden ein Arbeiten ermöglichen:","")</f>
        <v/>
      </c>
      <c r="B33" s="109"/>
      <c r="C33" s="109"/>
      <c r="D33" s="29"/>
      <c r="E33" s="29"/>
      <c r="F33" s="29"/>
      <c r="G33" s="29"/>
      <c r="H33" s="29"/>
      <c r="I33" s="29"/>
      <c r="J33" s="29"/>
      <c r="K33" s="110"/>
    </row>
    <row r="34" spans="1:11" ht="18" x14ac:dyDescent="0.2">
      <c r="A34" s="32"/>
      <c r="B34" s="109"/>
      <c r="C34" s="109"/>
      <c r="D34" s="29"/>
      <c r="E34" s="29"/>
      <c r="F34" s="29"/>
      <c r="G34" s="29"/>
      <c r="H34" s="29"/>
      <c r="I34" s="29"/>
      <c r="J34" s="29"/>
      <c r="K34" s="110"/>
    </row>
    <row r="35" spans="1:11" ht="18" x14ac:dyDescent="0.2">
      <c r="A35" s="32" t="str">
        <f>IF($E$16&lt;$E$11,"Verringerung der Abschaltzeit des vorgelagerten Schutzorgans auf &lt; "&amp;ROUND($E$21,3)&amp;" s für PSAgS der Störlichtbogenschutzklasse 1 (APC1) oder auf &lt; "&amp;ROUND($E$19,3)&amp;" s für PSAgS der Störlichtbogenschutzklasse 2 (APC2).","")</f>
        <v/>
      </c>
      <c r="B35" s="109"/>
      <c r="C35" s="109"/>
      <c r="D35" s="29"/>
      <c r="E35" s="29"/>
      <c r="F35" s="29"/>
      <c r="G35" s="29"/>
      <c r="H35" s="29"/>
      <c r="I35" s="29"/>
      <c r="J35" s="29"/>
      <c r="K35" s="110"/>
    </row>
    <row r="36" spans="1:11" ht="18" x14ac:dyDescent="0.2">
      <c r="A36" s="33"/>
      <c r="B36" s="109"/>
      <c r="C36" s="109"/>
      <c r="D36" s="29"/>
      <c r="E36" s="29"/>
      <c r="F36" s="29"/>
      <c r="G36" s="29"/>
      <c r="H36" s="29"/>
      <c r="I36" s="29"/>
      <c r="J36" s="29"/>
      <c r="K36" s="110"/>
    </row>
    <row r="37" spans="1:11" ht="18.75" thickBot="1" x14ac:dyDescent="0.25">
      <c r="A37" s="34" t="str">
        <f>IF($E$16&lt;$E$11,"Vergrößerung des Arbeitsabstandes auf ≥ "&amp;ROUND($E$25,0)&amp;" mm für PSAgS der Störlichtbogenschutzklasse 1 (APC1) oder auf ≥ "&amp;ROUND($E$23,0)&amp;" mm für PSAgS der Störlichtbogenschutzklasse 2 (APC2).","")</f>
        <v/>
      </c>
      <c r="B37" s="111"/>
      <c r="C37" s="111"/>
      <c r="D37" s="99"/>
      <c r="E37" s="99"/>
      <c r="F37" s="99"/>
      <c r="G37" s="99"/>
      <c r="H37" s="99"/>
      <c r="I37" s="99"/>
      <c r="J37" s="99"/>
      <c r="K37" s="112"/>
    </row>
  </sheetData>
  <sheetProtection algorithmName="SHA-512" hashValue="QLKUa7xS+qS63PcEltPOWqf6ClhFsRObwzdpLgzwA/qj99IJGK73fXxbL1HU20K3Tqwbxudo+jZoF20BZfG1rw==" saltValue="ZvDBRa5vhGa7BzLHSg6/uw==" spinCount="100000" sheet="1" objects="1" selectLockedCells="1"/>
  <mergeCells count="9">
    <mergeCell ref="B10:C10"/>
    <mergeCell ref="B11:C11"/>
    <mergeCell ref="A12:A13"/>
    <mergeCell ref="A16:A17"/>
    <mergeCell ref="B5:C5"/>
    <mergeCell ref="B6:C6"/>
    <mergeCell ref="B7:C7"/>
    <mergeCell ref="B8:C8"/>
    <mergeCell ref="B9:C9"/>
  </mergeCells>
  <pageMargins left="0.78740157499999996" right="0.78740157499999996" top="0.984251969" bottom="0.984251969" header="0.4921259845" footer="0.4921259845"/>
  <pageSetup paperSize="9" scale="37" orientation="landscape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11">
    <tabColor theme="5" tint="0.79998168889431442"/>
    <pageSetUpPr fitToPage="1"/>
  </sheetPr>
  <dimension ref="A1:Q39"/>
  <sheetViews>
    <sheetView showGridLines="0" zoomScaleNormal="100" workbookViewId="0"/>
  </sheetViews>
  <sheetFormatPr baseColWidth="10" defaultColWidth="11.42578125" defaultRowHeight="15" x14ac:dyDescent="0.25"/>
  <cols>
    <col min="1" max="1" width="4" style="146" customWidth="1"/>
    <col min="2" max="2" width="7" style="146" customWidth="1"/>
    <col min="3" max="3" width="9.5703125" style="146" customWidth="1"/>
    <col min="4" max="4" width="21.5703125" style="146" customWidth="1"/>
    <col min="5" max="6" width="12.7109375" style="146" customWidth="1"/>
    <col min="7" max="7" width="12.7109375" style="148" customWidth="1"/>
    <col min="8" max="9" width="12.7109375" style="146" customWidth="1"/>
    <col min="10" max="10" width="6" style="146" customWidth="1"/>
    <col min="11" max="14" width="13.140625" style="146" customWidth="1"/>
    <col min="15" max="16" width="16.7109375" style="146" customWidth="1"/>
    <col min="17" max="16384" width="11.42578125" style="146"/>
  </cols>
  <sheetData>
    <row r="1" spans="1:16" ht="21.75" thickTop="1" x14ac:dyDescent="0.35">
      <c r="B1" s="113" t="s">
        <v>34</v>
      </c>
      <c r="C1" s="114"/>
      <c r="D1" s="115"/>
      <c r="E1" s="115"/>
      <c r="F1" s="115"/>
      <c r="G1" s="116"/>
      <c r="H1" s="115"/>
      <c r="I1" s="115"/>
      <c r="J1" s="115"/>
      <c r="K1" s="115"/>
      <c r="L1" s="115"/>
      <c r="M1" s="115"/>
      <c r="N1" s="115"/>
      <c r="O1" s="236" t="s">
        <v>240</v>
      </c>
      <c r="P1" s="284"/>
    </row>
    <row r="2" spans="1:16" ht="21.75" thickBot="1" x14ac:dyDescent="0.4">
      <c r="B2" s="117" t="s">
        <v>35</v>
      </c>
      <c r="C2" s="118"/>
      <c r="D2" s="118"/>
      <c r="E2" s="118"/>
      <c r="F2" s="118"/>
      <c r="G2" s="119"/>
      <c r="H2" s="118"/>
      <c r="I2" s="118"/>
      <c r="J2" s="118"/>
      <c r="K2" s="118"/>
      <c r="L2" s="118"/>
      <c r="M2" s="118"/>
      <c r="N2" s="118"/>
      <c r="O2" s="285"/>
      <c r="P2" s="286"/>
    </row>
    <row r="3" spans="1:16" ht="16.5" thickTop="1" x14ac:dyDescent="0.25">
      <c r="B3" s="120"/>
      <c r="C3" s="118"/>
      <c r="D3" s="118"/>
      <c r="E3" s="118"/>
      <c r="F3" s="118"/>
      <c r="G3" s="119"/>
      <c r="H3" s="121"/>
      <c r="I3" s="118"/>
      <c r="J3" s="118"/>
      <c r="K3" s="118"/>
      <c r="L3" s="118"/>
      <c r="M3" s="118"/>
      <c r="N3" s="118"/>
      <c r="O3" s="118"/>
      <c r="P3" s="122"/>
    </row>
    <row r="4" spans="1:16" s="149" customFormat="1" ht="15.75" customHeight="1" x14ac:dyDescent="0.25">
      <c r="B4" s="271" t="s">
        <v>37</v>
      </c>
      <c r="C4" s="272"/>
      <c r="D4" s="273" t="str">
        <f>'User MS-AC'!$K$4</f>
        <v>M. Mustermann</v>
      </c>
      <c r="E4" s="273"/>
      <c r="F4" s="123" t="s">
        <v>144</v>
      </c>
      <c r="G4" s="124" t="s">
        <v>204</v>
      </c>
      <c r="H4" s="123" t="s">
        <v>39</v>
      </c>
      <c r="I4" s="125">
        <f>'User MS-AC'!$K$8</f>
        <v>45966</v>
      </c>
      <c r="J4" s="126"/>
      <c r="K4" s="274" t="s">
        <v>142</v>
      </c>
      <c r="L4" s="274"/>
      <c r="M4" s="274"/>
      <c r="N4" s="274"/>
      <c r="O4" s="274"/>
      <c r="P4" s="275"/>
    </row>
    <row r="5" spans="1:16" s="149" customFormat="1" ht="15.75" customHeight="1" x14ac:dyDescent="0.25">
      <c r="B5" s="271" t="s">
        <v>143</v>
      </c>
      <c r="C5" s="272"/>
      <c r="D5" s="274" t="str">
        <f>'User MS-AC'!$C$4</f>
        <v>MS-Schaltanlage</v>
      </c>
      <c r="E5" s="274" t="s">
        <v>191</v>
      </c>
      <c r="F5" s="274" t="str">
        <f>'User MS-AC'!$C$8</f>
        <v>An-/abklemmen von Abgängen; Reinigungsarbeiten; Messen und Prüfen</v>
      </c>
      <c r="G5" s="276"/>
      <c r="H5" s="276"/>
      <c r="I5" s="276"/>
      <c r="J5" s="126"/>
      <c r="K5" s="274"/>
      <c r="L5" s="274"/>
      <c r="M5" s="274"/>
      <c r="N5" s="274"/>
      <c r="O5" s="274"/>
      <c r="P5" s="275"/>
    </row>
    <row r="6" spans="1:16" s="149" customFormat="1" ht="15.75" x14ac:dyDescent="0.25">
      <c r="B6" s="271"/>
      <c r="C6" s="272"/>
      <c r="D6" s="276"/>
      <c r="E6" s="276"/>
      <c r="F6" s="276"/>
      <c r="G6" s="276"/>
      <c r="H6" s="276"/>
      <c r="I6" s="276"/>
      <c r="J6" s="126"/>
      <c r="K6" s="274"/>
      <c r="L6" s="274"/>
      <c r="M6" s="274"/>
      <c r="N6" s="274"/>
      <c r="O6" s="274"/>
      <c r="P6" s="275"/>
    </row>
    <row r="7" spans="1:16" s="149" customFormat="1" ht="15.75" x14ac:dyDescent="0.25">
      <c r="B7" s="127"/>
      <c r="C7" s="126"/>
      <c r="D7" s="126"/>
      <c r="E7" s="126"/>
      <c r="F7" s="126"/>
      <c r="G7" s="128"/>
      <c r="H7" s="126"/>
      <c r="I7" s="126"/>
      <c r="J7" s="126"/>
      <c r="K7" s="126"/>
      <c r="L7" s="126"/>
      <c r="M7" s="126"/>
      <c r="N7" s="126"/>
      <c r="O7" s="126"/>
      <c r="P7" s="129"/>
    </row>
    <row r="8" spans="1:16" s="149" customFormat="1" ht="15.75" x14ac:dyDescent="0.25">
      <c r="A8" s="152"/>
      <c r="B8" s="130" t="s">
        <v>1</v>
      </c>
      <c r="C8" s="131"/>
      <c r="D8" s="131"/>
      <c r="E8" s="126"/>
      <c r="F8" s="132"/>
      <c r="G8" s="132"/>
      <c r="H8" s="268">
        <v>10</v>
      </c>
      <c r="I8" s="268"/>
      <c r="J8" s="126"/>
      <c r="K8" s="269" t="s">
        <v>0</v>
      </c>
      <c r="L8" s="269"/>
      <c r="M8" s="269"/>
      <c r="N8" s="269"/>
      <c r="O8" s="269"/>
      <c r="P8" s="270"/>
    </row>
    <row r="9" spans="1:16" s="150" customFormat="1" ht="33.950000000000003" customHeight="1" x14ac:dyDescent="0.25">
      <c r="B9" s="133"/>
      <c r="C9" s="277" t="s">
        <v>81</v>
      </c>
      <c r="D9" s="277"/>
      <c r="E9" s="277"/>
      <c r="F9" s="277"/>
      <c r="G9" s="277"/>
      <c r="H9" s="277"/>
      <c r="I9" s="277"/>
      <c r="J9" s="134"/>
      <c r="K9" s="278" t="s">
        <v>137</v>
      </c>
      <c r="L9" s="278"/>
      <c r="M9" s="278"/>
      <c r="N9" s="278"/>
      <c r="O9" s="278"/>
      <c r="P9" s="279"/>
    </row>
    <row r="10" spans="1:16" s="149" customFormat="1" ht="15.75" x14ac:dyDescent="0.25">
      <c r="A10" s="152"/>
      <c r="B10" s="135" t="s">
        <v>76</v>
      </c>
      <c r="C10" s="136"/>
      <c r="D10" s="136"/>
      <c r="E10" s="126"/>
      <c r="F10" s="132"/>
      <c r="G10" s="132"/>
      <c r="H10" s="268" t="s">
        <v>140</v>
      </c>
      <c r="I10" s="268"/>
      <c r="J10" s="126"/>
      <c r="K10" s="269" t="str">
        <f>K8</f>
        <v>Erläuterung:</v>
      </c>
      <c r="L10" s="269"/>
      <c r="M10" s="269"/>
      <c r="N10" s="269"/>
      <c r="O10" s="269"/>
      <c r="P10" s="270"/>
    </row>
    <row r="11" spans="1:16" s="150" customFormat="1" ht="33.950000000000003" customHeight="1" x14ac:dyDescent="0.25">
      <c r="B11" s="137"/>
      <c r="C11" s="277" t="s">
        <v>91</v>
      </c>
      <c r="D11" s="277"/>
      <c r="E11" s="277"/>
      <c r="F11" s="277"/>
      <c r="G11" s="277"/>
      <c r="H11" s="277"/>
      <c r="I11" s="277"/>
      <c r="J11" s="134"/>
      <c r="K11" s="278" t="s">
        <v>135</v>
      </c>
      <c r="L11" s="278"/>
      <c r="M11" s="278"/>
      <c r="N11" s="278"/>
      <c r="O11" s="278"/>
      <c r="P11" s="279"/>
    </row>
    <row r="12" spans="1:16" s="149" customFormat="1" ht="15.75" x14ac:dyDescent="0.25">
      <c r="A12" s="152"/>
      <c r="B12" s="135" t="s">
        <v>77</v>
      </c>
      <c r="C12" s="136"/>
      <c r="D12" s="136"/>
      <c r="E12" s="126"/>
      <c r="F12" s="132"/>
      <c r="G12" s="132"/>
      <c r="H12" s="268">
        <v>10</v>
      </c>
      <c r="I12" s="268"/>
      <c r="J12" s="126"/>
      <c r="K12" s="269" t="str">
        <f>K8</f>
        <v>Erläuterung:</v>
      </c>
      <c r="L12" s="269"/>
      <c r="M12" s="269"/>
      <c r="N12" s="269"/>
      <c r="O12" s="269"/>
      <c r="P12" s="270"/>
    </row>
    <row r="13" spans="1:16" s="150" customFormat="1" ht="33.950000000000003" customHeight="1" x14ac:dyDescent="0.25">
      <c r="B13" s="137"/>
      <c r="C13" s="277" t="s">
        <v>82</v>
      </c>
      <c r="D13" s="277"/>
      <c r="E13" s="277"/>
      <c r="F13" s="277"/>
      <c r="G13" s="277"/>
      <c r="H13" s="277"/>
      <c r="I13" s="277"/>
      <c r="J13" s="134"/>
      <c r="K13" s="282" t="s">
        <v>136</v>
      </c>
      <c r="L13" s="282"/>
      <c r="M13" s="282"/>
      <c r="N13" s="282"/>
      <c r="O13" s="282"/>
      <c r="P13" s="283"/>
    </row>
    <row r="14" spans="1:16" s="149" customFormat="1" ht="15.75" x14ac:dyDescent="0.25">
      <c r="A14" s="152"/>
      <c r="B14" s="135" t="s">
        <v>78</v>
      </c>
      <c r="C14" s="136"/>
      <c r="D14" s="136"/>
      <c r="E14" s="126"/>
      <c r="F14" s="132"/>
      <c r="G14" s="132"/>
      <c r="H14" s="268">
        <v>0</v>
      </c>
      <c r="I14" s="268"/>
      <c r="J14" s="126"/>
      <c r="K14" s="269" t="str">
        <f>K8</f>
        <v>Erläuterung:</v>
      </c>
      <c r="L14" s="269"/>
      <c r="M14" s="269"/>
      <c r="N14" s="269"/>
      <c r="O14" s="269"/>
      <c r="P14" s="270"/>
    </row>
    <row r="15" spans="1:16" s="150" customFormat="1" ht="33.950000000000003" customHeight="1" x14ac:dyDescent="0.25">
      <c r="B15" s="137"/>
      <c r="C15" s="277" t="s">
        <v>83</v>
      </c>
      <c r="D15" s="277"/>
      <c r="E15" s="277"/>
      <c r="F15" s="277"/>
      <c r="G15" s="277"/>
      <c r="H15" s="277"/>
      <c r="I15" s="277"/>
      <c r="J15" s="134"/>
      <c r="K15" s="282" t="s">
        <v>211</v>
      </c>
      <c r="L15" s="282"/>
      <c r="M15" s="282"/>
      <c r="N15" s="282"/>
      <c r="O15" s="282"/>
      <c r="P15" s="283"/>
    </row>
    <row r="16" spans="1:16" s="149" customFormat="1" ht="15.75" x14ac:dyDescent="0.25">
      <c r="A16" s="152"/>
      <c r="B16" s="135" t="s">
        <v>79</v>
      </c>
      <c r="C16" s="136"/>
      <c r="D16" s="136"/>
      <c r="E16" s="126"/>
      <c r="F16" s="132"/>
      <c r="G16" s="132"/>
      <c r="H16" s="268">
        <v>0</v>
      </c>
      <c r="I16" s="268"/>
      <c r="J16" s="126"/>
      <c r="K16" s="269" t="str">
        <f>K8</f>
        <v>Erläuterung:</v>
      </c>
      <c r="L16" s="269"/>
      <c r="M16" s="269"/>
      <c r="N16" s="269"/>
      <c r="O16" s="269"/>
      <c r="P16" s="270"/>
    </row>
    <row r="17" spans="1:17" s="150" customFormat="1" ht="33.950000000000003" customHeight="1" x14ac:dyDescent="0.25">
      <c r="B17" s="137"/>
      <c r="C17" s="277" t="s">
        <v>84</v>
      </c>
      <c r="D17" s="277"/>
      <c r="E17" s="277"/>
      <c r="F17" s="277"/>
      <c r="G17" s="277"/>
      <c r="H17" s="277"/>
      <c r="I17" s="277"/>
      <c r="J17" s="134"/>
      <c r="K17" s="278" t="s">
        <v>134</v>
      </c>
      <c r="L17" s="278"/>
      <c r="M17" s="278"/>
      <c r="N17" s="278"/>
      <c r="O17" s="278"/>
      <c r="P17" s="279"/>
    </row>
    <row r="18" spans="1:17" s="149" customFormat="1" ht="15.75" x14ac:dyDescent="0.25">
      <c r="A18" s="152"/>
      <c r="B18" s="135" t="s">
        <v>80</v>
      </c>
      <c r="C18" s="136"/>
      <c r="D18" s="136"/>
      <c r="E18" s="126"/>
      <c r="F18" s="132"/>
      <c r="G18" s="132"/>
      <c r="H18" s="268">
        <v>0</v>
      </c>
      <c r="I18" s="268"/>
      <c r="J18" s="126"/>
      <c r="K18" s="269" t="str">
        <f>K8</f>
        <v>Erläuterung:</v>
      </c>
      <c r="L18" s="269"/>
      <c r="M18" s="269"/>
      <c r="N18" s="269"/>
      <c r="O18" s="269"/>
      <c r="P18" s="270"/>
    </row>
    <row r="19" spans="1:17" s="150" customFormat="1" ht="33.950000000000003" customHeight="1" x14ac:dyDescent="0.25">
      <c r="B19" s="133"/>
      <c r="C19" s="277" t="s">
        <v>85</v>
      </c>
      <c r="D19" s="277"/>
      <c r="E19" s="277"/>
      <c r="F19" s="277"/>
      <c r="G19" s="277"/>
      <c r="H19" s="277"/>
      <c r="I19" s="277"/>
      <c r="J19" s="134"/>
      <c r="K19" s="278" t="s">
        <v>212</v>
      </c>
      <c r="L19" s="278"/>
      <c r="M19" s="278"/>
      <c r="N19" s="278"/>
      <c r="O19" s="278"/>
      <c r="P19" s="279"/>
    </row>
    <row r="20" spans="1:17" s="149" customFormat="1" ht="15.75" x14ac:dyDescent="0.25">
      <c r="B20" s="138" t="s">
        <v>92</v>
      </c>
      <c r="C20" s="126"/>
      <c r="D20" s="126"/>
      <c r="E20" s="126"/>
      <c r="F20" s="126"/>
      <c r="G20" s="126"/>
      <c r="H20" s="280">
        <f>H8+IF(H10="nicht zutreffend",SUM(H8:H18)/COUNT(H8:H18),H10)+IF(H12="nicht zutreffend",SUM(H8:H18)/COUNT(H8:H18),H12)+IF(H14="nicht zutreffend",SUM(H8:H18)/COUNT(H8:H18),H14)+IF(H16="nicht zutreffend",SUM(H8:H18)/COUNT(H8:H18),H16)+IF(H18="nicht zutreffend",SUM(H8:H18)/COUNT(H8:H18),H18)</f>
        <v>24</v>
      </c>
      <c r="I20" s="281"/>
      <c r="J20" s="126"/>
      <c r="K20" s="126"/>
      <c r="L20" s="126"/>
      <c r="M20" s="126"/>
      <c r="N20" s="126"/>
      <c r="O20" s="126"/>
      <c r="P20" s="129"/>
    </row>
    <row r="21" spans="1:17" ht="15.75" customHeight="1" x14ac:dyDescent="0.25">
      <c r="B21" s="120"/>
      <c r="C21" s="118"/>
      <c r="D21" s="118"/>
      <c r="E21" s="118"/>
      <c r="F21" s="118"/>
      <c r="G21" s="119"/>
      <c r="H21" s="118"/>
      <c r="I21" s="118"/>
      <c r="J21" s="118"/>
      <c r="K21" s="118"/>
      <c r="L21" s="118"/>
      <c r="M21" s="118"/>
      <c r="N21" s="118"/>
      <c r="O21" s="118"/>
      <c r="P21" s="122"/>
    </row>
    <row r="22" spans="1:17" ht="34.5" customHeight="1" x14ac:dyDescent="0.25">
      <c r="B22" s="294"/>
      <c r="C22" s="295"/>
      <c r="D22" s="44" t="s">
        <v>192</v>
      </c>
      <c r="E22" s="200">
        <v>0</v>
      </c>
      <c r="F22" s="200">
        <v>10</v>
      </c>
      <c r="G22" s="200">
        <v>20</v>
      </c>
      <c r="H22" s="200">
        <v>31</v>
      </c>
      <c r="I22" s="200">
        <v>46</v>
      </c>
      <c r="J22" s="118"/>
      <c r="K22" s="269" t="s">
        <v>133</v>
      </c>
      <c r="L22" s="269"/>
      <c r="M22" s="269"/>
      <c r="N22" s="269"/>
      <c r="O22" s="269"/>
      <c r="P22" s="270"/>
    </row>
    <row r="23" spans="1:17" s="149" customFormat="1" ht="49.5" customHeight="1" x14ac:dyDescent="0.25">
      <c r="B23" s="287" t="s">
        <v>215</v>
      </c>
      <c r="C23" s="288"/>
      <c r="D23" s="16"/>
      <c r="E23" s="45" t="s">
        <v>25</v>
      </c>
      <c r="F23" s="45" t="s">
        <v>141</v>
      </c>
      <c r="G23" s="45" t="s">
        <v>26</v>
      </c>
      <c r="H23" s="45" t="s">
        <v>24</v>
      </c>
      <c r="I23" s="45" t="s">
        <v>138</v>
      </c>
      <c r="J23" s="126"/>
      <c r="K23" s="289" t="str">
        <f>IF(OR(E24&lt;&gt;"",F24&lt;&gt;"",G24&lt;&gt;"",E25&lt;&gt;"",F25&lt;&gt;"",E26&lt;&gt;""),"Durchführung der Arbeiten mit PSAgS "&amp;G4&amp;" auf Basis der getroffenen Bewertungsansätze und gemäß der festgelegten Schutzmaßnahmen zulässig",IF(OR(H24&lt;&gt;"",G25&lt;&gt;"",F26&lt;&gt;"",E27&lt;&gt;""),"Durchführung der Arbeiten mit PSAgS "&amp;G4&amp;" auf Basis der getroffenen Bewertungsansätze und gemäß der festgelegten Schutzmaßnahmen zulässig;"&amp;" Aktives Risikomanagement erforderlich; Einzelfallbewertung, maximal mögliche PSAgS-Schutzklasse nutzen; regelmäßige Überprüfung, ob weitere Maßnahmen möglich sind","Tätigkeiten dürfen so nicht durchgeführt werden; Freischalten erforderlich oder weitere Maßnahmen zur Reduzierung der Lichtbogenenergie und der Wahrscheinlichkeit von Störlichtbögen umsetzen"))</f>
        <v>Durchführung der Arbeiten mit PSAgS APC2 auf Basis der getroffenen Bewertungsansätze und gemäß der festgelegten Schutzmaßnahmen zulässig</v>
      </c>
      <c r="L23" s="290"/>
      <c r="M23" s="290"/>
      <c r="N23" s="290"/>
      <c r="O23" s="290"/>
      <c r="P23" s="291"/>
      <c r="Q23" s="151"/>
    </row>
    <row r="24" spans="1:17" s="149" customFormat="1" ht="26.25" customHeight="1" x14ac:dyDescent="0.25">
      <c r="B24" s="292">
        <v>0</v>
      </c>
      <c r="C24" s="293"/>
      <c r="D24" s="46" t="s">
        <v>20</v>
      </c>
      <c r="E24" s="26" t="str">
        <f>IF(G4="APC1",IF(AND('Berechnung MS-AC'!$E$29&gt;=$B$24,'Berechnung MS-AC'!$E$29&lt;$B$25,$H$20&gt;=E22,$H$20&lt;F22),"APC1",""),IF(AND('Berechnung MS-AC'!$E$27&gt;=$B$24,'Berechnung MS-AC'!$E$27&lt;$B$25,$H$20&gt;=E22,$H$20&lt;F22),"APC2",""))</f>
        <v/>
      </c>
      <c r="F24" s="26" t="str">
        <f>IF(G4="APC1",IF(AND('Berechnung MS-AC'!$E$29&gt;=$B$24,'Berechnung MS-AC'!$E$29&lt;$B$25,$H$20&gt;=F22,$H$20&lt;G22),"APC1",""),IF(AND('Berechnung MS-AC'!$E$17&gt;=$B$24,'Berechnung MS-AC'!$E$27&lt;$B$25,$H$20&gt;=F22,$H$20&lt;G22),"APC2",""))</f>
        <v/>
      </c>
      <c r="G24" s="26" t="str">
        <f>IF(G4="APC1",IF(AND('Berechnung MS-AC'!$E$29&gt;=$B$24,'Berechnung MS-AC'!$E$29&lt;$B$25,$H$20&gt;=G22,$H$20&lt;H22),"APC1",""),IF(AND('Berechnung MS-AC'!$E$27&gt;=$B$24,'Berechnung MS-AC'!$E$27&lt;$B$25,$H$20&gt;=G22,$H$20&lt;H22),"APC2",""))</f>
        <v>APC2</v>
      </c>
      <c r="H24" s="27" t="str">
        <f>IF(G4="APC1",IF(AND('Berechnung MS-AC'!$E$29&gt;=$B$24,'Berechnung MS-AC'!$E$29&lt;$B$25,$H$20&gt;=H22,$H$20&lt;I22),"APC1",""),IF(AND('Berechnung MS-AC'!$E$27&gt;=$B$24,'Berechnung MS-AC'!$E$27&lt;$B$25,$H$20&gt;=H22,$H$20&lt;I22),"APC2",""))</f>
        <v/>
      </c>
      <c r="I24" s="28" t="str">
        <f>IF(G4="APC1",IF(AND('Berechnung MS-AC'!$E$29&gt;=$B$24,'Berechnung MS-AC'!$E$29&lt;$B$25,$H$20&gt;=I22),"APC1",""),IF(AND('Berechnung MS-AC'!$E$27&gt;=$B$24,'Berechnung MS-AC'!$E$27&lt;$B$25,$H$20&gt;=I22),"APC2",""))</f>
        <v/>
      </c>
      <c r="J24" s="126"/>
      <c r="K24" s="290"/>
      <c r="L24" s="290"/>
      <c r="M24" s="290"/>
      <c r="N24" s="290"/>
      <c r="O24" s="290"/>
      <c r="P24" s="291"/>
    </row>
    <row r="25" spans="1:17" s="149" customFormat="1" ht="26.25" customHeight="1" x14ac:dyDescent="0.25">
      <c r="B25" s="292">
        <v>1</v>
      </c>
      <c r="C25" s="293"/>
      <c r="D25" s="46" t="s">
        <v>21</v>
      </c>
      <c r="E25" s="26" t="str">
        <f>IF(G4="APC1",IF(AND('Berechnung MS-AC'!$E$29&gt;=$B$25,'Berechnung MS-AC'!$E$29&lt;$B$26,$H$20&gt;=E22,$H$20&lt;F22),"APC1",""),IF(AND('Berechnung MS-AC'!$E$27&gt;=$B$25,'Berechnung MS-AC'!$E$27&lt;$B$26,$H$20&gt;=E22,$H$20&lt;F22),"APC2",""))</f>
        <v/>
      </c>
      <c r="F25" s="26" t="str">
        <f>IF(G4="APC1",IF(AND('Berechnung MS-AC'!$E$29&gt;=$B$25,'Berechnung MS-AC'!$E$29&lt;$B$26,$H$20&gt;=F22,$H$20&lt;G22),"APC1",""),IF(AND('Berechnung MS-AC'!$E$27&gt;=$B$25,'Berechnung MS-AC'!$E$27&lt;$B$26,$H$20&gt;=F22,$H$20&lt;G22),"APC2",""))</f>
        <v/>
      </c>
      <c r="G25" s="27" t="str">
        <f>IF(G4="APC1",IF(AND('Berechnung MS-AC'!$E$29&gt;=$B$25,'Berechnung MS-AC'!$E$29&lt;$B$26,$H$20&gt;=G22,$H$20&lt;H22),"APC1",""),IF(AND('Berechnung MS-AC'!$E$27&gt;=$B$25,'Berechnung MS-AC'!$E$27&lt;$B$26,$H$20&gt;=G22,$H$20&lt;H22),"APC2",""))</f>
        <v/>
      </c>
      <c r="H25" s="28" t="str">
        <f>IF(G4="APC1",IF(AND('Berechnung MS-AC'!$E$29&gt;=$B$25,'Berechnung MS-AC'!$E$29&lt;$B$26,$H$20&gt;=H22,$H$20&lt;I22),"APC1",""),IF(AND('Berechnung MS-AC'!$E$27&gt;=$B$25,'Berechnung MS-AC'!$E$27&lt;$B$26,$H$20&gt;=H22,$H$20&lt;I22),"APC2",""))</f>
        <v/>
      </c>
      <c r="I25" s="28" t="str">
        <f>IF(G4="APC1",IF(AND('Berechnung MS-AC'!$E$29&gt;=$B$25,'Berechnung MS-AC'!$E$29&lt;$B$26,$H$20&gt;=I22),"APC1",""),IF(AND('Berechnung MS-AC'!$E$27&gt;=$B$25,'Berechnung MS-AC'!$E$27&lt;$B$26,$H$20&gt;=I22),"APC2",""))</f>
        <v/>
      </c>
      <c r="J25" s="126"/>
      <c r="K25" s="290"/>
      <c r="L25" s="290"/>
      <c r="M25" s="290"/>
      <c r="N25" s="290"/>
      <c r="O25" s="290"/>
      <c r="P25" s="291"/>
    </row>
    <row r="26" spans="1:17" ht="26.25" customHeight="1" x14ac:dyDescent="0.25">
      <c r="B26" s="292">
        <v>3</v>
      </c>
      <c r="C26" s="293"/>
      <c r="D26" s="46" t="s">
        <v>22</v>
      </c>
      <c r="E26" s="26" t="str">
        <f>IF(G4="APC1",IF(AND('Berechnung MS-AC'!$E$29&gt;=$B$26,'Berechnung MS-AC'!$E$29&lt;$B$27,$H$20&gt;=E22,$H$20&lt;F22),"APC1",""),IF(AND('Berechnung MS-AC'!$E$27&gt;=$B$26,'Berechnung MS-AC'!$E$27&lt;$B$27,$H$20&gt;=E22,$H$20&lt;F22),"APC2",""))</f>
        <v/>
      </c>
      <c r="F26" s="27" t="str">
        <f>IF(G4="APC1",IF(AND('Berechnung MS-AC'!$E$29&gt;=$B$26,'Berechnung MS-AC'!$E$29&lt;$B$27,$H$20&gt;=F22,$H$20&lt;G22),"APC1",""),IF(AND('Berechnung MS-AC'!$E$27&gt;=$B$26,'Berechnung MS-AC'!$E$27&lt;$B$27,$H$20&gt;=F22,$H$20&lt;G22),"APC2",""))</f>
        <v/>
      </c>
      <c r="G26" s="28" t="str">
        <f>IF(G4="APC1",IF(AND('Berechnung MS-AC'!$E$29&gt;=$B$26,'Berechnung MS-AC'!$E$29&lt;$B$27,$H$20&gt;=G22,$H$20&lt;H22),"APC1",""),IF(AND('Berechnung MS-AC'!$E$27&gt;=$B$26,'Berechnung MS-AC'!$E$27&lt;$B$27,$H$20&gt;=G22,$H$20&lt;H22),"APC2",""))</f>
        <v/>
      </c>
      <c r="H26" s="28" t="str">
        <f>IF(G4="APC1",IF(AND('Berechnung MS-AC'!$E$29&gt;=$B$26,'Berechnung MS-AC'!$E$29&lt;$B$27,$H$20&gt;=H22,$H$20&lt;I22),"APC1",""),IF(AND('Berechnung MS-AC'!$E$27&gt;=$B$26,'Berechnung MS-AC'!$E$27&lt;$B$27,$H$20&gt;=H22,$H$20&lt;I22),"APC2",""))</f>
        <v/>
      </c>
      <c r="I26" s="28" t="str">
        <f>IF(G4="APC1",IF(AND('Berechnung MS-AC'!$E$29&gt;=$B$26,'Berechnung MS-AC'!$E$29&lt;$B$27,$H$20&gt;=I22),"APC1",""),IF(AND('Berechnung MS-AC'!$E$27&gt;=$B$26,'Berechnung MS-AC'!$E$27&lt;$B$27,$H$20&gt;=I22),"APC2",""))</f>
        <v/>
      </c>
      <c r="J26" s="118"/>
      <c r="K26" s="290"/>
      <c r="L26" s="290"/>
      <c r="M26" s="290"/>
      <c r="N26" s="290"/>
      <c r="O26" s="290"/>
      <c r="P26" s="291"/>
      <c r="Q26" s="149"/>
    </row>
    <row r="27" spans="1:17" s="149" customFormat="1" ht="26.25" customHeight="1" x14ac:dyDescent="0.25">
      <c r="B27" s="292">
        <v>10</v>
      </c>
      <c r="C27" s="293"/>
      <c r="D27" s="46" t="s">
        <v>23</v>
      </c>
      <c r="E27" s="27" t="str">
        <f>IF(AND('Berechnung MS-AC'!$E$29&gt;=$B$27,$H$20&gt;=E22,$H$20&lt;F22),"APC1","")&amp;""&amp;IF(AND('Berechnung MS-AC'!$E$27&gt;=$B$27,$H$20&gt;=E22,$H$20&lt;F22),"APC2","")</f>
        <v/>
      </c>
      <c r="F27" s="28" t="str">
        <f>IF(G4="APC1",IF(AND('Berechnung MS-AC'!$E$29&gt;=$B$27,$H$20&gt;=F22,$H$20&lt;G22),"APC1",""),IF(AND('Berechnung MS-AC'!$E$27&gt;=$B$27,$H$20&gt;=F22,$H$20&lt;G22),"APC2",""))</f>
        <v/>
      </c>
      <c r="G27" s="28" t="str">
        <f>IF(G4="APC1",IF(AND('Berechnung MS-AC'!$E$29&gt;=$B$27,$H$20&gt;=G22,$H$20&lt;H22),"APC1",""),IF(AND('Berechnung MS-AC'!$E$27&gt;=$B$27,$H$20&gt;=G22,$H$20&lt;H22),"APC2",""))</f>
        <v/>
      </c>
      <c r="H27" s="28" t="str">
        <f>IF(G4="APC1",IF(AND('Berechnung MS-AC'!$E$29&gt;=$B$27,$H$20&gt;=H22,$H$20&lt;I22),"APC1",""),IF(AND('Berechnung MS-AC'!$E$27&gt;=$B$27,$H$20&gt;=H22,$H$20&lt;I22),"APC2",""))</f>
        <v/>
      </c>
      <c r="I27" s="28" t="str">
        <f>IF(G4="APC1",IF(AND('Berechnung MS-AC'!$E$29&gt;=$B$27,$H$20&gt;=I22),"APC1",""),IF(AND('Berechnung MS-AC'!$E$27&gt;=$B$27,$H$20&gt;=I22),"APC2",""))</f>
        <v/>
      </c>
      <c r="J27" s="126"/>
      <c r="K27" s="290"/>
      <c r="L27" s="290"/>
      <c r="M27" s="290"/>
      <c r="N27" s="290"/>
      <c r="O27" s="290"/>
      <c r="P27" s="291"/>
    </row>
    <row r="28" spans="1:17" s="149" customFormat="1" ht="15.75" x14ac:dyDescent="0.25">
      <c r="B28" s="139" t="s">
        <v>203</v>
      </c>
      <c r="C28" s="47">
        <f>'Berechnung MS-AC'!E29</f>
        <v>0.4726047067746641</v>
      </c>
      <c r="D28" s="140"/>
      <c r="E28" s="140"/>
      <c r="F28" s="140"/>
      <c r="G28" s="140"/>
      <c r="H28" s="140"/>
      <c r="I28" s="140"/>
      <c r="J28" s="126"/>
      <c r="K28" s="126"/>
      <c r="L28" s="126"/>
      <c r="M28" s="126"/>
      <c r="N28" s="126"/>
      <c r="O28" s="128"/>
      <c r="P28" s="129"/>
    </row>
    <row r="29" spans="1:17" s="149" customFormat="1" ht="16.5" thickBot="1" x14ac:dyDescent="0.3">
      <c r="B29" s="141" t="s">
        <v>204</v>
      </c>
      <c r="C29" s="142">
        <f>'Berechnung MS-AC'!E27</f>
        <v>0.24811747105669865</v>
      </c>
      <c r="D29" s="143"/>
      <c r="E29" s="143"/>
      <c r="F29" s="143"/>
      <c r="G29" s="143"/>
      <c r="H29" s="143"/>
      <c r="I29" s="143"/>
      <c r="J29" s="144"/>
      <c r="K29" s="144"/>
      <c r="L29" s="144"/>
      <c r="M29" s="144"/>
      <c r="N29" s="144"/>
      <c r="O29" s="144"/>
      <c r="P29" s="145"/>
    </row>
    <row r="30" spans="1:17" ht="15.75" thickTop="1" x14ac:dyDescent="0.25">
      <c r="G30" s="146"/>
    </row>
    <row r="31" spans="1:17" x14ac:dyDescent="0.25">
      <c r="G31" s="146"/>
      <c r="I31" s="147"/>
    </row>
    <row r="32" spans="1:17" x14ac:dyDescent="0.25">
      <c r="G32" s="146"/>
    </row>
    <row r="33" spans="7:7" x14ac:dyDescent="0.25">
      <c r="G33" s="146"/>
    </row>
    <row r="34" spans="7:7" x14ac:dyDescent="0.25">
      <c r="G34" s="146"/>
    </row>
    <row r="35" spans="7:7" x14ac:dyDescent="0.25">
      <c r="G35" s="146"/>
    </row>
    <row r="36" spans="7:7" x14ac:dyDescent="0.25">
      <c r="G36" s="146"/>
    </row>
    <row r="37" spans="7:7" x14ac:dyDescent="0.25">
      <c r="G37" s="146"/>
    </row>
    <row r="38" spans="7:7" x14ac:dyDescent="0.25">
      <c r="G38" s="146"/>
    </row>
    <row r="39" spans="7:7" x14ac:dyDescent="0.25">
      <c r="G39" s="146"/>
    </row>
  </sheetData>
  <sheetProtection algorithmName="SHA-512" hashValue="NDeqU6pzIGCIYkJZe8Z/P6iWiwRei+K90u9AET4WO0OhqWU1owlhWXch5uhayuZsbu5EvIHhB+MUXjJKmMPfGw==" saltValue="HvmSC8/j//s9j2b4+MuLTw==" spinCount="100000" sheet="1" objects="1"/>
  <mergeCells count="41">
    <mergeCell ref="O1:P2"/>
    <mergeCell ref="B23:C23"/>
    <mergeCell ref="K23:P27"/>
    <mergeCell ref="B24:C24"/>
    <mergeCell ref="B25:C25"/>
    <mergeCell ref="B26:C26"/>
    <mergeCell ref="B27:C27"/>
    <mergeCell ref="B22:C22"/>
    <mergeCell ref="K22:P22"/>
    <mergeCell ref="C15:I15"/>
    <mergeCell ref="K15:P15"/>
    <mergeCell ref="H16:I16"/>
    <mergeCell ref="K16:P16"/>
    <mergeCell ref="C17:I17"/>
    <mergeCell ref="K17:P17"/>
    <mergeCell ref="H18:I18"/>
    <mergeCell ref="K18:P18"/>
    <mergeCell ref="C19:I19"/>
    <mergeCell ref="K19:P19"/>
    <mergeCell ref="H20:I20"/>
    <mergeCell ref="H12:I12"/>
    <mergeCell ref="K12:P12"/>
    <mergeCell ref="C13:I13"/>
    <mergeCell ref="K13:P13"/>
    <mergeCell ref="H14:I14"/>
    <mergeCell ref="K14:P14"/>
    <mergeCell ref="C9:I9"/>
    <mergeCell ref="K9:P9"/>
    <mergeCell ref="H10:I10"/>
    <mergeCell ref="K10:P10"/>
    <mergeCell ref="C11:I11"/>
    <mergeCell ref="K11:P11"/>
    <mergeCell ref="H8:I8"/>
    <mergeCell ref="K8:P8"/>
    <mergeCell ref="B4:C4"/>
    <mergeCell ref="D4:E4"/>
    <mergeCell ref="K4:P6"/>
    <mergeCell ref="B5:C6"/>
    <mergeCell ref="D5:D6"/>
    <mergeCell ref="E5:E6"/>
    <mergeCell ref="F5:I6"/>
  </mergeCells>
  <dataValidations count="1">
    <dataValidation type="list" allowBlank="1" showInputMessage="1" showErrorMessage="1" sqref="G4" xr:uid="{00000000-0002-0000-0200-000000000000}">
      <formula1>$B$28:$B$29</formula1>
    </dataValidation>
  </dataValidations>
  <hyperlinks>
    <hyperlink ref="B8:G8" location="'a)'!B2" display="a)  Art/Zustand der Anlage" xr:uid="{00000000-0004-0000-0200-000000000000}"/>
    <hyperlink ref="B10:G10" location="'b)'!A1" display="b)  Technische Maßnahmen *)" xr:uid="{00000000-0004-0000-0200-000001000000}"/>
    <hyperlink ref="B12:G12" location="'c)'!A1" display="c)  Organisatorische Maßnahmen *)" xr:uid="{00000000-0004-0000-0200-000002000000}"/>
    <hyperlink ref="B14:G14" location="'d)'!A1" display="d)  Persönliche Maßnahmen *)" xr:uid="{00000000-0004-0000-0200-000003000000}"/>
    <hyperlink ref="B16:G16" location="'e)'!A1" display="e)  Statistische Einflussfaktoren *)" xr:uid="{00000000-0004-0000-0200-000004000000}"/>
    <hyperlink ref="B18:G18" location="'f)'!A1" display="f)   Ergonomische Einflussfaktoren *)" xr:uid="{00000000-0004-0000-0200-000005000000}"/>
    <hyperlink ref="B10" location="'b)'!B2" display="b)  Technische Maßnahmen" xr:uid="{00000000-0004-0000-0200-000006000000}"/>
    <hyperlink ref="B12" location="'c)'!B2" display="c)  Organisatorische Maßnahmen" xr:uid="{00000000-0004-0000-0200-000007000000}"/>
    <hyperlink ref="B14" location="'d)'!B2" display="d)  Persönliche Maßnahmen" xr:uid="{00000000-0004-0000-0200-000008000000}"/>
    <hyperlink ref="B16" location="'e)'!B2" display="e)  Statistische Einflussfaktoren" xr:uid="{00000000-0004-0000-0200-000009000000}"/>
    <hyperlink ref="B18" location="'f)'!B2" display="f)   Ergonomische Einflussfaktoren" xr:uid="{00000000-0004-0000-0200-00000A000000}"/>
  </hyperlinks>
  <pageMargins left="0.70866141732283472" right="0.70866141732283472" top="0.78740157480314965" bottom="0.78740157480314965" header="0.31496062992125984" footer="0.31496062992125984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xr:uid="{00000000-0002-0000-0200-000001000000}">
          <x14:formula1>
            <xm:f>'e)'!$B$5:$B$10</xm:f>
          </x14:formula1>
          <xm:sqref>H16:I16</xm:sqref>
        </x14:dataValidation>
        <x14:dataValidation type="list" allowBlank="1" showErrorMessage="1" xr:uid="{00000000-0002-0000-0200-000002000000}">
          <x14:formula1>
            <xm:f>'d)'!$B$5:$B$10</xm:f>
          </x14:formula1>
          <xm:sqref>H14:I14</xm:sqref>
        </x14:dataValidation>
        <x14:dataValidation type="list" allowBlank="1" showErrorMessage="1" xr:uid="{00000000-0002-0000-0200-000003000000}">
          <x14:formula1>
            <xm:f>'c)'!$B$5:$B$10</xm:f>
          </x14:formula1>
          <xm:sqref>H12:I12</xm:sqref>
        </x14:dataValidation>
        <x14:dataValidation type="list" allowBlank="1" showErrorMessage="1" xr:uid="{00000000-0002-0000-0200-000004000000}">
          <x14:formula1>
            <xm:f>'b)'!$B$5:$B$10</xm:f>
          </x14:formula1>
          <xm:sqref>H10:I10</xm:sqref>
        </x14:dataValidation>
        <x14:dataValidation type="list" allowBlank="1" showErrorMessage="1" xr:uid="{00000000-0002-0000-0200-000005000000}">
          <x14:formula1>
            <xm:f>'a)'!$B$5:$B$9</xm:f>
          </x14:formula1>
          <xm:sqref>H8:I8</xm:sqref>
        </x14:dataValidation>
        <x14:dataValidation type="list" allowBlank="1" showErrorMessage="1" xr:uid="{00000000-0002-0000-0200-000006000000}">
          <x14:formula1>
            <xm:f>'f)'!$B$5:$B$10</xm:f>
          </x14:formula1>
          <xm:sqref>H18:I18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tabColor theme="5" tint="0.79998168889431442"/>
    <pageSetUpPr fitToPage="1"/>
  </sheetPr>
  <dimension ref="A1:G38"/>
  <sheetViews>
    <sheetView showGridLines="0" zoomScaleNormal="100" workbookViewId="0">
      <selection activeCell="M4" sqref="M4"/>
    </sheetView>
  </sheetViews>
  <sheetFormatPr baseColWidth="10" defaultColWidth="11.28515625" defaultRowHeight="11.25" x14ac:dyDescent="0.2"/>
  <cols>
    <col min="1" max="1" width="12.85546875" style="153" customWidth="1"/>
    <col min="2" max="2" width="20.140625" style="153" customWidth="1"/>
    <col min="3" max="3" width="15.7109375" style="153" bestFit="1" customWidth="1"/>
    <col min="4" max="4" width="17.5703125" style="153" customWidth="1"/>
    <col min="5" max="5" width="11.85546875" style="153" customWidth="1"/>
    <col min="6" max="6" width="22.28515625" style="153" customWidth="1"/>
    <col min="7" max="16384" width="11.28515625" style="153"/>
  </cols>
  <sheetData>
    <row r="1" spans="1:7" ht="16.5" customHeight="1" thickTop="1" x14ac:dyDescent="0.2">
      <c r="A1" s="210"/>
      <c r="B1" s="210"/>
      <c r="C1" s="210"/>
      <c r="D1" s="210"/>
      <c r="E1" s="210"/>
      <c r="F1" s="296" t="s">
        <v>240</v>
      </c>
      <c r="G1" s="211"/>
    </row>
    <row r="2" spans="1:7" ht="13.5" customHeight="1" thickBot="1" x14ac:dyDescent="0.25">
      <c r="A2" s="210"/>
      <c r="B2" s="210"/>
      <c r="C2" s="210"/>
      <c r="D2" s="210"/>
      <c r="E2" s="210"/>
      <c r="F2" s="297"/>
      <c r="G2" s="211"/>
    </row>
    <row r="3" spans="1:7" ht="14.1" customHeight="1" thickTop="1" x14ac:dyDescent="0.2">
      <c r="A3" s="155" t="str">
        <f>'User MS-AC'!B4</f>
        <v>Arbeitsort:</v>
      </c>
      <c r="B3" s="298" t="str">
        <f>IF('User MS-AC'!C4=0,"",'User MS-AC'!C4)</f>
        <v>MS-Schaltanlage</v>
      </c>
      <c r="C3" s="299"/>
      <c r="D3" s="156" t="str">
        <f>'User MS-AC'!J4</f>
        <v>Bearbeiter:</v>
      </c>
      <c r="E3" s="298" t="str">
        <f>IF('User MS-AC'!K4=0,"",'User MS-AC'!K4)</f>
        <v>M. Mustermann</v>
      </c>
      <c r="F3" s="300"/>
    </row>
    <row r="4" spans="1:7" ht="14.1" customHeight="1" x14ac:dyDescent="0.2">
      <c r="A4" s="157"/>
      <c r="B4" s="301" t="str">
        <f>IF('User MS-AC'!C5=0,"",'User MS-AC'!C5)</f>
        <v/>
      </c>
      <c r="C4" s="302"/>
      <c r="D4" s="158"/>
      <c r="E4" s="159"/>
      <c r="F4" s="160"/>
    </row>
    <row r="5" spans="1:7" ht="14.1" customHeight="1" x14ac:dyDescent="0.2">
      <c r="A5" s="161"/>
      <c r="B5" s="303" t="str">
        <f>IF('User MS-AC'!C6=0,"",'User MS-AC'!C6)</f>
        <v/>
      </c>
      <c r="C5" s="304"/>
      <c r="D5" s="162"/>
      <c r="E5" s="163"/>
      <c r="F5" s="164"/>
    </row>
    <row r="6" spans="1:7" ht="14.1" customHeight="1" x14ac:dyDescent="0.2">
      <c r="A6" s="157" t="str">
        <f>'User MS-AC'!B8</f>
        <v>Arbeitsauftrag:</v>
      </c>
      <c r="B6" s="305" t="str">
        <f>IF('User MS-AC'!C8=0,"",'User MS-AC'!C8)</f>
        <v>An-/abklemmen von Abgängen; Reinigungsarbeiten; Messen und Prüfen</v>
      </c>
      <c r="C6" s="306"/>
      <c r="D6" s="159" t="str">
        <f>'User MS-AC'!J8</f>
        <v>Datum:</v>
      </c>
      <c r="E6" s="165">
        <f>IF('User MS-AC'!K8=0,"",'User MS-AC'!K8)</f>
        <v>45966</v>
      </c>
      <c r="F6" s="160"/>
    </row>
    <row r="7" spans="1:7" ht="14.1" customHeight="1" x14ac:dyDescent="0.2">
      <c r="A7" s="157"/>
      <c r="B7" s="307"/>
      <c r="C7" s="308"/>
      <c r="D7" s="159"/>
      <c r="E7" s="159"/>
      <c r="F7" s="160"/>
    </row>
    <row r="8" spans="1:7" ht="14.1" customHeight="1" thickBot="1" x14ac:dyDescent="0.25">
      <c r="A8" s="166"/>
      <c r="B8" s="309"/>
      <c r="C8" s="310"/>
      <c r="D8" s="167"/>
      <c r="E8" s="167"/>
      <c r="F8" s="168"/>
    </row>
    <row r="9" spans="1:7" ht="12" thickBot="1" x14ac:dyDescent="0.25">
      <c r="A9" s="313"/>
      <c r="B9" s="313"/>
      <c r="C9" s="313"/>
      <c r="D9" s="313"/>
      <c r="E9" s="313"/>
      <c r="F9" s="313"/>
    </row>
    <row r="10" spans="1:7" ht="21.95" customHeight="1" thickBot="1" x14ac:dyDescent="0.25">
      <c r="A10" s="179" t="s">
        <v>56</v>
      </c>
      <c r="B10" s="180"/>
      <c r="C10" s="180" t="str">
        <f>'Rechnung_ausgeblendet für User'!$D$28</f>
        <v>Richtwerte für 10-kV- und 20-kV-Schaltanlagen</v>
      </c>
      <c r="D10" s="180"/>
      <c r="E10" s="169" t="s">
        <v>57</v>
      </c>
      <c r="F10" s="170" t="s">
        <v>58</v>
      </c>
    </row>
    <row r="11" spans="1:7" ht="21.95" customHeight="1" thickBot="1" x14ac:dyDescent="0.25">
      <c r="A11" s="314" t="s">
        <v>59</v>
      </c>
      <c r="B11" s="298"/>
      <c r="C11" s="171" t="s">
        <v>60</v>
      </c>
      <c r="D11" s="172"/>
      <c r="E11" s="173" t="s">
        <v>167</v>
      </c>
      <c r="F11" s="222">
        <f>'Berechnung MS-AC'!E2</f>
        <v>10</v>
      </c>
    </row>
    <row r="12" spans="1:7" ht="21.95" customHeight="1" x14ac:dyDescent="0.2">
      <c r="A12" s="314" t="s">
        <v>168</v>
      </c>
      <c r="B12" s="298"/>
      <c r="C12" s="172" t="s">
        <v>62</v>
      </c>
      <c r="D12" s="172"/>
      <c r="E12" s="173" t="s">
        <v>169</v>
      </c>
      <c r="F12" s="175">
        <f>'Berechnung MS-AC'!E3</f>
        <v>13</v>
      </c>
    </row>
    <row r="13" spans="1:7" ht="21.95" customHeight="1" thickBot="1" x14ac:dyDescent="0.25">
      <c r="A13" s="315"/>
      <c r="B13" s="301"/>
      <c r="C13" s="171" t="s">
        <v>63</v>
      </c>
      <c r="D13" s="171"/>
      <c r="E13" s="176" t="s">
        <v>170</v>
      </c>
      <c r="F13" s="177">
        <f>'Berechnung MS-AC'!E4</f>
        <v>12</v>
      </c>
    </row>
    <row r="14" spans="1:7" ht="21.95" customHeight="1" thickBot="1" x14ac:dyDescent="0.25">
      <c r="A14" s="316" t="s">
        <v>171</v>
      </c>
      <c r="B14" s="313"/>
      <c r="C14" s="317"/>
      <c r="D14" s="317"/>
      <c r="E14" s="169" t="s">
        <v>172</v>
      </c>
      <c r="F14" s="178">
        <f>'Berechnung MS-AC'!E5</f>
        <v>1</v>
      </c>
    </row>
    <row r="15" spans="1:7" ht="21.95" customHeight="1" thickBot="1" x14ac:dyDescent="0.25">
      <c r="A15" s="179" t="s">
        <v>64</v>
      </c>
      <c r="B15" s="180"/>
      <c r="C15" s="313" t="s">
        <v>173</v>
      </c>
      <c r="D15" s="313"/>
      <c r="E15" s="169" t="s">
        <v>174</v>
      </c>
      <c r="F15" s="181">
        <f>'Berechnung MS-AC'!E6</f>
        <v>12</v>
      </c>
    </row>
    <row r="16" spans="1:7" ht="26.25" customHeight="1" thickBot="1" x14ac:dyDescent="0.25">
      <c r="A16" s="311" t="s">
        <v>175</v>
      </c>
      <c r="B16" s="312"/>
      <c r="C16" s="312"/>
      <c r="D16" s="312"/>
      <c r="E16" s="174" t="s">
        <v>176</v>
      </c>
      <c r="F16" s="182">
        <f>'Berechnung MS-AC'!E7</f>
        <v>0.1</v>
      </c>
    </row>
    <row r="17" spans="1:6" ht="21.95" customHeight="1" thickBot="1" x14ac:dyDescent="0.25">
      <c r="A17" s="316" t="s">
        <v>177</v>
      </c>
      <c r="B17" s="313"/>
      <c r="C17" s="318" t="s">
        <v>178</v>
      </c>
      <c r="D17" s="318"/>
      <c r="E17" s="169" t="s">
        <v>179</v>
      </c>
      <c r="F17" s="183">
        <f>'Berechnung MS-AC'!E8</f>
        <v>225.16660498395402</v>
      </c>
    </row>
    <row r="18" spans="1:6" ht="21.95" customHeight="1" thickBot="1" x14ac:dyDescent="0.25">
      <c r="A18" s="316" t="s">
        <v>180</v>
      </c>
      <c r="B18" s="313"/>
      <c r="C18" s="319"/>
      <c r="D18" s="319"/>
      <c r="E18" s="35" t="s">
        <v>181</v>
      </c>
      <c r="F18" s="184">
        <f>'Berechnung MS-AC'!E9</f>
        <v>0.04</v>
      </c>
    </row>
    <row r="19" spans="1:6" ht="21.95" customHeight="1" thickBot="1" x14ac:dyDescent="0.25">
      <c r="A19" s="316" t="s">
        <v>66</v>
      </c>
      <c r="B19" s="313"/>
      <c r="C19" s="318" t="s">
        <v>182</v>
      </c>
      <c r="D19" s="318"/>
      <c r="E19" s="35" t="s">
        <v>183</v>
      </c>
      <c r="F19" s="185">
        <f>'Berechnung MS-AC'!E10</f>
        <v>9.0066641993581609</v>
      </c>
    </row>
    <row r="20" spans="1:6" ht="21.95" customHeight="1" thickBot="1" x14ac:dyDescent="0.25">
      <c r="A20" s="316" t="s">
        <v>33</v>
      </c>
      <c r="B20" s="313"/>
      <c r="C20" s="318" t="s">
        <v>260</v>
      </c>
      <c r="D20" s="318"/>
      <c r="E20" s="186" t="s">
        <v>184</v>
      </c>
      <c r="F20" s="187">
        <f>'Berechnung MS-AC'!E11</f>
        <v>900.66641993581607</v>
      </c>
    </row>
    <row r="21" spans="1:6" ht="21.95" customHeight="1" thickBot="1" x14ac:dyDescent="0.25">
      <c r="A21" s="316" t="s">
        <v>185</v>
      </c>
      <c r="B21" s="313"/>
      <c r="C21" s="188"/>
      <c r="D21" s="159"/>
      <c r="E21" s="35" t="s">
        <v>71</v>
      </c>
      <c r="F21" s="189">
        <f>'Berechnung MS-AC'!E15</f>
        <v>825</v>
      </c>
    </row>
    <row r="22" spans="1:6" ht="21.95" customHeight="1" x14ac:dyDescent="0.2">
      <c r="A22" s="323" t="s">
        <v>186</v>
      </c>
      <c r="B22" s="324"/>
      <c r="C22" s="172"/>
      <c r="D22" s="172"/>
      <c r="E22" s="173" t="s">
        <v>205</v>
      </c>
      <c r="F22" s="190">
        <f>'Berechnung MS-AC'!E12</f>
        <v>320</v>
      </c>
    </row>
    <row r="23" spans="1:6" ht="21.95" customHeight="1" thickBot="1" x14ac:dyDescent="0.25">
      <c r="A23" s="311"/>
      <c r="B23" s="312"/>
      <c r="C23" s="188"/>
      <c r="D23" s="188"/>
      <c r="E23" s="35" t="s">
        <v>206</v>
      </c>
      <c r="F23" s="191">
        <f>'Berechnung MS-AC'!E13</f>
        <v>168</v>
      </c>
    </row>
    <row r="24" spans="1:6" ht="21.95" customHeight="1" thickBot="1" x14ac:dyDescent="0.25">
      <c r="A24" s="316" t="s">
        <v>32</v>
      </c>
      <c r="B24" s="313"/>
      <c r="C24" s="180"/>
      <c r="D24" s="192"/>
      <c r="E24" s="169" t="s">
        <v>187</v>
      </c>
      <c r="F24" s="193">
        <f>'Berechnung MS-AC'!E14</f>
        <v>1.5</v>
      </c>
    </row>
    <row r="25" spans="1:6" ht="21.95" customHeight="1" thickBot="1" x14ac:dyDescent="0.25">
      <c r="A25" s="323" t="s">
        <v>188</v>
      </c>
      <c r="B25" s="324"/>
      <c r="C25" s="171"/>
      <c r="D25" s="194"/>
      <c r="E25" s="186" t="s">
        <v>207</v>
      </c>
      <c r="F25" s="191">
        <f>'Berechnung MS-AC'!E16</f>
        <v>3630</v>
      </c>
    </row>
    <row r="26" spans="1:6" ht="21.95" customHeight="1" thickBot="1" x14ac:dyDescent="0.25">
      <c r="A26" s="311"/>
      <c r="B26" s="312"/>
      <c r="C26" s="195"/>
      <c r="D26" s="188"/>
      <c r="E26" s="186" t="s">
        <v>208</v>
      </c>
      <c r="F26" s="191">
        <f>'Berechnung MS-AC'!E17</f>
        <v>1905.75</v>
      </c>
    </row>
    <row r="27" spans="1:6" s="154" customFormat="1" ht="12" thickBot="1" x14ac:dyDescent="0.3">
      <c r="A27" s="159"/>
      <c r="B27" s="159"/>
      <c r="C27" s="159"/>
      <c r="D27" s="159"/>
      <c r="E27" s="159"/>
      <c r="F27" s="159"/>
    </row>
    <row r="28" spans="1:6" s="154" customFormat="1" ht="21.95" customHeight="1" x14ac:dyDescent="0.25">
      <c r="A28" s="155" t="s">
        <v>189</v>
      </c>
      <c r="B28" s="196"/>
      <c r="C28" s="196"/>
      <c r="D28" s="196"/>
      <c r="E28" s="173" t="s">
        <v>209</v>
      </c>
      <c r="F28" s="197" t="str">
        <f>IF(F20&lt;F25,"JA","NEIN")</f>
        <v>JA</v>
      </c>
    </row>
    <row r="29" spans="1:6" s="154" customFormat="1" ht="21.95" customHeight="1" thickBot="1" x14ac:dyDescent="0.3">
      <c r="A29" s="166"/>
      <c r="B29" s="167"/>
      <c r="C29" s="167"/>
      <c r="D29" s="167"/>
      <c r="E29" s="186" t="s">
        <v>210</v>
      </c>
      <c r="F29" s="198" t="str">
        <f>IF(F20&lt;F26,"JA","NEIN")</f>
        <v>JA</v>
      </c>
    </row>
    <row r="30" spans="1:6" s="154" customFormat="1" ht="12" thickBot="1" x14ac:dyDescent="0.3">
      <c r="A30" s="159"/>
      <c r="B30" s="159"/>
      <c r="C30" s="159"/>
      <c r="D30" s="159"/>
      <c r="E30" s="159"/>
      <c r="F30" s="159"/>
    </row>
    <row r="31" spans="1:6" s="154" customFormat="1" ht="21.95" customHeight="1" thickBot="1" x14ac:dyDescent="0.3">
      <c r="A31" s="199" t="s">
        <v>213</v>
      </c>
      <c r="B31" s="192"/>
      <c r="C31" s="325" t="str">
        <f>'User MS-AC'!C35</f>
        <v>Arbeiten mit PSAgS der Störlichtbogenschutzklasse 1 (APC1) möglich</v>
      </c>
      <c r="D31" s="325"/>
      <c r="E31" s="325"/>
      <c r="F31" s="326"/>
    </row>
    <row r="32" spans="1:6" s="154" customFormat="1" ht="95.25" customHeight="1" thickBot="1" x14ac:dyDescent="0.3">
      <c r="A32" s="199" t="s">
        <v>214</v>
      </c>
      <c r="B32" s="192"/>
      <c r="C32" s="333" t="str">
        <f>IF(OR(C31="Arbeiten mit PSAgS der Störlichtbogenschutzklasse 1 (APC1) möglich",C31="Arbeiten mit PSAgS der Störlichtbogenschutzklasse 2 (APC2) möglich",C31="Keine PSAgS erforderlich"),"-",'Risikobewertung MS-AC'!K23)</f>
        <v>-</v>
      </c>
      <c r="D32" s="333"/>
      <c r="E32" s="333"/>
      <c r="F32" s="334"/>
    </row>
    <row r="33" spans="1:6" s="154" customFormat="1" x14ac:dyDescent="0.25">
      <c r="A33" s="159"/>
      <c r="B33" s="159"/>
      <c r="C33" s="159"/>
      <c r="D33" s="159"/>
      <c r="E33" s="159"/>
      <c r="F33" s="159"/>
    </row>
    <row r="34" spans="1:6" s="154" customFormat="1" ht="14.1" customHeight="1" x14ac:dyDescent="0.25">
      <c r="A34" s="157" t="s">
        <v>190</v>
      </c>
      <c r="B34" s="159"/>
      <c r="C34" s="159"/>
      <c r="D34" s="159"/>
      <c r="E34" s="159"/>
      <c r="F34" s="160"/>
    </row>
    <row r="35" spans="1:6" x14ac:dyDescent="0.2">
      <c r="A35" s="327" t="str">
        <f>IF('User MS-AC'!H28=0,"",'User MS-AC'!H28)</f>
        <v>keine</v>
      </c>
      <c r="B35" s="328"/>
      <c r="C35" s="328"/>
      <c r="D35" s="328"/>
      <c r="E35" s="328"/>
      <c r="F35" s="329"/>
    </row>
    <row r="36" spans="1:6" x14ac:dyDescent="0.2">
      <c r="A36" s="330"/>
      <c r="B36" s="331"/>
      <c r="C36" s="331"/>
      <c r="D36" s="331"/>
      <c r="E36" s="331"/>
      <c r="F36" s="332"/>
    </row>
    <row r="37" spans="1:6" s="154" customFormat="1" ht="14.1" customHeight="1" x14ac:dyDescent="0.25">
      <c r="A37" s="157" t="s">
        <v>49</v>
      </c>
      <c r="B37" s="159"/>
      <c r="C37" s="159"/>
      <c r="D37" s="159"/>
      <c r="E37" s="159"/>
      <c r="F37" s="160"/>
    </row>
    <row r="38" spans="1:6" ht="13.5" customHeight="1" thickBot="1" x14ac:dyDescent="0.25">
      <c r="A38" s="320" t="str">
        <f>IF('User MS-AC'!C23=0,"",'User MS-AC'!C23)</f>
        <v>Leistungsschalter bzw. HH-Sicherung</v>
      </c>
      <c r="B38" s="321"/>
      <c r="C38" s="321"/>
      <c r="D38" s="321"/>
      <c r="E38" s="321"/>
      <c r="F38" s="322"/>
    </row>
  </sheetData>
  <sheetProtection algorithmName="SHA-512" hashValue="64G0Tk+yVLSARvwZXJk8JOpSUZ/JxIBzcfFhs8G3CfxinhWBYKKaij8RaG4jGBLFWJLAJlD8FK526A0vXbsR/Q==" saltValue="4qa66IR+cZ25CVr2DUcw2A==" spinCount="100000" sheet="1" objects="1" selectLockedCells="1"/>
  <mergeCells count="31">
    <mergeCell ref="A38:F38"/>
    <mergeCell ref="A20:B20"/>
    <mergeCell ref="C20:D20"/>
    <mergeCell ref="A21:B21"/>
    <mergeCell ref="A22:B22"/>
    <mergeCell ref="A23:B23"/>
    <mergeCell ref="A24:B24"/>
    <mergeCell ref="A25:B26"/>
    <mergeCell ref="C31:F31"/>
    <mergeCell ref="A35:F36"/>
    <mergeCell ref="C32:F32"/>
    <mergeCell ref="A17:B17"/>
    <mergeCell ref="C17:D17"/>
    <mergeCell ref="A18:B18"/>
    <mergeCell ref="C18:D18"/>
    <mergeCell ref="A19:B19"/>
    <mergeCell ref="C19:D19"/>
    <mergeCell ref="B6:C8"/>
    <mergeCell ref="A16:D16"/>
    <mergeCell ref="A9:F9"/>
    <mergeCell ref="A11:B11"/>
    <mergeCell ref="A12:B12"/>
    <mergeCell ref="A13:B13"/>
    <mergeCell ref="A14:B14"/>
    <mergeCell ref="C14:D14"/>
    <mergeCell ref="C15:D15"/>
    <mergeCell ref="F1:F2"/>
    <mergeCell ref="B3:C3"/>
    <mergeCell ref="E3:F3"/>
    <mergeCell ref="B4:C4"/>
    <mergeCell ref="B5:C5"/>
  </mergeCells>
  <pageMargins left="0.7" right="0.7" top="0.78740157499999996" bottom="0.78740157499999996" header="0.3" footer="0.3"/>
  <pageSetup paperSize="9" scale="87" orientation="portrait" horizont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8">
    <tabColor theme="9"/>
  </sheetPr>
  <dimension ref="A1:I48"/>
  <sheetViews>
    <sheetView zoomScaleNormal="100" workbookViewId="0">
      <selection activeCell="D47" sqref="D47"/>
    </sheetView>
  </sheetViews>
  <sheetFormatPr baseColWidth="10" defaultColWidth="11.42578125" defaultRowHeight="15" x14ac:dyDescent="0.25"/>
  <cols>
    <col min="1" max="1" width="43.85546875" style="39" customWidth="1"/>
    <col min="2" max="2" width="11.42578125" style="39"/>
    <col min="3" max="3" width="12.42578125" style="39" customWidth="1"/>
    <col min="4" max="4" width="87.85546875" style="39" customWidth="1"/>
    <col min="5" max="5" width="82.28515625" style="39" customWidth="1"/>
    <col min="6" max="6" width="13" style="39" customWidth="1"/>
    <col min="7" max="7" width="13.140625" style="39" customWidth="1"/>
    <col min="8" max="9" width="11.42578125" style="39"/>
    <col min="10" max="16384" width="11.42578125" style="29"/>
  </cols>
  <sheetData>
    <row r="1" spans="1:9" x14ac:dyDescent="0.2">
      <c r="A1" s="221" t="s">
        <v>218</v>
      </c>
      <c r="B1" s="221" t="s">
        <v>238</v>
      </c>
      <c r="C1" s="221" t="s">
        <v>239</v>
      </c>
      <c r="D1" s="221" t="s">
        <v>236</v>
      </c>
      <c r="E1" s="221" t="s">
        <v>237</v>
      </c>
      <c r="F1" s="38"/>
      <c r="G1" s="37"/>
      <c r="H1" s="38"/>
      <c r="I1" s="38"/>
    </row>
    <row r="2" spans="1:9" x14ac:dyDescent="0.2">
      <c r="A2" s="38"/>
      <c r="B2" s="38"/>
      <c r="C2" s="38"/>
      <c r="D2" s="38"/>
      <c r="E2" s="38"/>
      <c r="F2" s="38"/>
      <c r="G2" s="38"/>
      <c r="H2" s="38"/>
      <c r="I2" s="38"/>
    </row>
    <row r="3" spans="1:9" x14ac:dyDescent="0.25">
      <c r="A3" s="38" t="s">
        <v>220</v>
      </c>
      <c r="B3" s="213">
        <f>IF(AND(D33=1,D44=1),10,IF(AND(D33=1,D44=2),20,IF(AND(D33=2,D44=1),10,IF(AND(D33=2,D44=2),20,IF(AND(D33=2,D44=3),30,IF(AND(D33=2,D44=3,D48=TRUE),30,IF(D33=3,'User MS-AC'!C15)))))))</f>
        <v>10</v>
      </c>
      <c r="C3" s="38" t="s">
        <v>219</v>
      </c>
      <c r="D3" s="38"/>
      <c r="E3" s="38"/>
      <c r="F3" s="38"/>
      <c r="G3" s="38"/>
      <c r="H3" s="38"/>
      <c r="I3" s="38"/>
    </row>
    <row r="4" spans="1:9" x14ac:dyDescent="0.25">
      <c r="A4" s="38" t="s">
        <v>221</v>
      </c>
      <c r="B4" s="214">
        <f>B3*1000</f>
        <v>10000</v>
      </c>
      <c r="C4" s="38" t="s">
        <v>41</v>
      </c>
      <c r="D4" s="38"/>
      <c r="F4" s="38"/>
      <c r="G4" s="38"/>
      <c r="H4" s="38"/>
      <c r="I4" s="38"/>
    </row>
    <row r="5" spans="1:9" x14ac:dyDescent="0.25">
      <c r="A5" s="38" t="s">
        <v>223</v>
      </c>
      <c r="B5" s="214">
        <f>'User MS-AC'!$C$21</f>
        <v>120</v>
      </c>
      <c r="C5" s="38" t="s">
        <v>46</v>
      </c>
      <c r="D5" s="38"/>
      <c r="E5" s="38"/>
      <c r="F5" s="38"/>
      <c r="G5" s="38"/>
      <c r="H5" s="38"/>
      <c r="I5" s="38"/>
    </row>
    <row r="6" spans="1:9" x14ac:dyDescent="0.25">
      <c r="A6" s="38"/>
      <c r="B6" s="214"/>
      <c r="C6" s="38"/>
      <c r="D6" s="38"/>
      <c r="E6" s="38"/>
      <c r="F6" s="38"/>
      <c r="G6" s="38"/>
      <c r="H6" s="38"/>
      <c r="I6" s="38"/>
    </row>
    <row r="7" spans="1:9" x14ac:dyDescent="0.25">
      <c r="A7" s="216" t="s">
        <v>273</v>
      </c>
      <c r="B7" s="214"/>
      <c r="C7" s="38"/>
      <c r="D7" s="38"/>
      <c r="E7" s="38"/>
      <c r="F7" s="38"/>
      <c r="G7" s="38"/>
      <c r="H7" s="38"/>
      <c r="I7" s="38"/>
    </row>
    <row r="8" spans="1:9" x14ac:dyDescent="0.25">
      <c r="A8" s="212" t="s">
        <v>224</v>
      </c>
      <c r="B8" s="37">
        <f>'Berechnung MS-AC'!$E$8</f>
        <v>225.16660498395402</v>
      </c>
      <c r="C8" s="38" t="s">
        <v>225</v>
      </c>
      <c r="D8" s="38"/>
      <c r="F8" s="38"/>
      <c r="G8" s="38"/>
      <c r="H8" s="38"/>
      <c r="I8" s="38"/>
    </row>
    <row r="9" spans="1:9" x14ac:dyDescent="0.25">
      <c r="A9" s="212"/>
      <c r="B9" s="220">
        <f>IF(D44=1,0.04,0.08)</f>
        <v>0.04</v>
      </c>
      <c r="C9" s="38" t="s">
        <v>222</v>
      </c>
      <c r="D9" s="38"/>
      <c r="E9" s="38"/>
      <c r="F9" s="38"/>
      <c r="G9" s="38"/>
      <c r="H9" s="38"/>
      <c r="I9" s="38"/>
    </row>
    <row r="10" spans="1:9" x14ac:dyDescent="0.2">
      <c r="A10" s="212" t="s">
        <v>226</v>
      </c>
      <c r="B10" s="37">
        <f>B8*B9</f>
        <v>9.0066641993581609</v>
      </c>
      <c r="C10" s="38" t="s">
        <v>227</v>
      </c>
      <c r="D10" s="38"/>
      <c r="E10" s="38"/>
      <c r="F10" s="38"/>
      <c r="G10" s="38"/>
      <c r="H10" s="38"/>
      <c r="I10" s="38"/>
    </row>
    <row r="12" spans="1:9" x14ac:dyDescent="0.25">
      <c r="A12" s="217" t="s">
        <v>228</v>
      </c>
    </row>
    <row r="13" spans="1:9" x14ac:dyDescent="0.25">
      <c r="A13" s="218" t="s">
        <v>229</v>
      </c>
      <c r="B13" s="219">
        <f>IF(D46="Transformator",2000,IF(D39=10,800,IF(D39=20,1300,IF(D39=30,1800,IF(D39=30,2000)))))</f>
        <v>800</v>
      </c>
      <c r="C13" s="39" t="s">
        <v>41</v>
      </c>
    </row>
    <row r="14" spans="1:9" x14ac:dyDescent="0.25">
      <c r="A14" s="218" t="s">
        <v>230</v>
      </c>
      <c r="B14" s="219">
        <f>0.78*(B13/B4)</f>
        <v>6.2400000000000004E-2</v>
      </c>
      <c r="C14" s="39" t="s">
        <v>222</v>
      </c>
      <c r="E14" s="219"/>
    </row>
    <row r="15" spans="1:9" x14ac:dyDescent="0.25">
      <c r="A15" s="218" t="s">
        <v>231</v>
      </c>
      <c r="B15" s="219">
        <f>(B8*B14)</f>
        <v>14.050396150998731</v>
      </c>
      <c r="C15" s="39" t="s">
        <v>227</v>
      </c>
      <c r="E15" s="219"/>
    </row>
    <row r="17" spans="1:5" x14ac:dyDescent="0.25">
      <c r="A17" s="217" t="s">
        <v>266</v>
      </c>
      <c r="D17" s="38" t="s">
        <v>241</v>
      </c>
    </row>
    <row r="18" spans="1:5" x14ac:dyDescent="0.25">
      <c r="A18" s="218" t="s">
        <v>232</v>
      </c>
      <c r="B18" s="219">
        <f>400+14.5*(B5/10)</f>
        <v>574</v>
      </c>
      <c r="C18" s="39" t="s">
        <v>41</v>
      </c>
    </row>
    <row r="19" spans="1:5" x14ac:dyDescent="0.25">
      <c r="A19" s="218" t="s">
        <v>233</v>
      </c>
      <c r="B19" s="219">
        <f>40*(B5/10)</f>
        <v>480</v>
      </c>
      <c r="C19" s="39" t="s">
        <v>41</v>
      </c>
    </row>
    <row r="20" spans="1:5" x14ac:dyDescent="0.25">
      <c r="A20" s="218" t="s">
        <v>235</v>
      </c>
      <c r="B20" s="219">
        <f>IF(OR(B3&lt;=1,B5&lt;=0),"n.a.",MAX(B18:B19))</f>
        <v>574</v>
      </c>
      <c r="C20" s="39" t="s">
        <v>41</v>
      </c>
      <c r="D20" s="39" t="s">
        <v>234</v>
      </c>
      <c r="E20" s="219"/>
    </row>
    <row r="21" spans="1:5" x14ac:dyDescent="0.25">
      <c r="A21" s="218" t="s">
        <v>230</v>
      </c>
      <c r="B21" s="219">
        <f>0.78*(B20/B4)</f>
        <v>4.4771999999999999E-2</v>
      </c>
      <c r="C21" s="39" t="s">
        <v>222</v>
      </c>
    </row>
    <row r="22" spans="1:5" x14ac:dyDescent="0.25">
      <c r="A22" s="218" t="s">
        <v>231</v>
      </c>
      <c r="B22" s="219">
        <f>(B21*B8)</f>
        <v>10.08115923834159</v>
      </c>
      <c r="C22" s="39" t="s">
        <v>227</v>
      </c>
    </row>
    <row r="23" spans="1:5" x14ac:dyDescent="0.25">
      <c r="E23" s="219"/>
    </row>
    <row r="25" spans="1:5" x14ac:dyDescent="0.25">
      <c r="A25" s="39" t="s">
        <v>246</v>
      </c>
      <c r="C25" s="39">
        <v>1</v>
      </c>
      <c r="D25" s="39" t="s">
        <v>268</v>
      </c>
    </row>
    <row r="26" spans="1:5" x14ac:dyDescent="0.25">
      <c r="C26" s="39">
        <v>2</v>
      </c>
      <c r="D26" s="39" t="s">
        <v>244</v>
      </c>
    </row>
    <row r="27" spans="1:5" x14ac:dyDescent="0.25">
      <c r="C27" s="39">
        <v>3</v>
      </c>
      <c r="D27" s="39" t="s">
        <v>264</v>
      </c>
    </row>
    <row r="28" spans="1:5" x14ac:dyDescent="0.25">
      <c r="A28" s="39" t="s">
        <v>245</v>
      </c>
      <c r="D28" s="39" t="str">
        <f>'User MS-AC'!$C$11</f>
        <v>Richtwerte für 10-kV- und 20-kV-Schaltanlagen</v>
      </c>
    </row>
    <row r="29" spans="1:5" x14ac:dyDescent="0.25">
      <c r="D29" s="39">
        <f>IFERROR(MATCH("Richtwerte für 10-kV- und 20-kV-Schaltanlagen",D28,0),0)</f>
        <v>1</v>
      </c>
    </row>
    <row r="30" spans="1:5" x14ac:dyDescent="0.25">
      <c r="D30" s="39">
        <f>IFERROR(MATCH("Worst-Case-Betrachtung",D28,0),0)</f>
        <v>0</v>
      </c>
    </row>
    <row r="31" spans="1:5" x14ac:dyDescent="0.25">
      <c r="D31" s="39">
        <f>IFERROR(MATCH("Genauere Bestimmung mit Elektrodenabstand",D28,0),0)</f>
        <v>0</v>
      </c>
    </row>
    <row r="33" spans="1:4" x14ac:dyDescent="0.25">
      <c r="A33" s="39" t="s">
        <v>247</v>
      </c>
      <c r="D33" s="39">
        <f>IF(D29=1,1,(IF(D30=1,2,(IF(D31=1,3)))))</f>
        <v>1</v>
      </c>
    </row>
    <row r="35" spans="1:4" x14ac:dyDescent="0.25">
      <c r="A35" s="39" t="s">
        <v>248</v>
      </c>
      <c r="C35" s="39" t="s">
        <v>219</v>
      </c>
      <c r="D35" s="227">
        <f>IF(D33&lt;3,10,"")</f>
        <v>10</v>
      </c>
    </row>
    <row r="36" spans="1:4" x14ac:dyDescent="0.25">
      <c r="C36" s="39" t="s">
        <v>219</v>
      </c>
      <c r="D36" s="39">
        <f>IF(D33&lt;3,20,"")</f>
        <v>20</v>
      </c>
    </row>
    <row r="37" spans="1:4" x14ac:dyDescent="0.25">
      <c r="C37" s="39" t="s">
        <v>219</v>
      </c>
      <c r="D37" s="39" t="str">
        <f>IF(D33=2,30,"")</f>
        <v/>
      </c>
    </row>
    <row r="39" spans="1:4" x14ac:dyDescent="0.25">
      <c r="A39" s="39" t="s">
        <v>245</v>
      </c>
      <c r="D39" s="39">
        <f>'User MS-AC'!$F$15</f>
        <v>10</v>
      </c>
    </row>
    <row r="40" spans="1:4" x14ac:dyDescent="0.25">
      <c r="D40" s="39">
        <f>IFERROR(MATCH(10,D39,0),0)</f>
        <v>1</v>
      </c>
    </row>
    <row r="41" spans="1:4" x14ac:dyDescent="0.25">
      <c r="D41" s="39">
        <f>IFERROR(MATCH(20,D39,0),0)</f>
        <v>0</v>
      </c>
    </row>
    <row r="42" spans="1:4" x14ac:dyDescent="0.25">
      <c r="D42" s="39">
        <f>IFERROR(MATCH(30,D39,0),0)</f>
        <v>0</v>
      </c>
    </row>
    <row r="44" spans="1:4" x14ac:dyDescent="0.25">
      <c r="A44" s="39" t="s">
        <v>249</v>
      </c>
      <c r="D44" s="227">
        <f>IF(D40=1,1,(IF(D41=1,2,(IF(D42=1,3,)))))</f>
        <v>1</v>
      </c>
    </row>
    <row r="45" spans="1:4" x14ac:dyDescent="0.25">
      <c r="D45" s="227"/>
    </row>
    <row r="46" spans="1:4" x14ac:dyDescent="0.25">
      <c r="A46" s="39" t="s">
        <v>272</v>
      </c>
      <c r="D46" s="39" t="str">
        <f>'User MS-AC'!$C$13</f>
        <v>Schaltanlage</v>
      </c>
    </row>
    <row r="47" spans="1:4" x14ac:dyDescent="0.25">
      <c r="A47" s="39" t="s">
        <v>270</v>
      </c>
      <c r="C47" s="39">
        <v>1</v>
      </c>
      <c r="D47" s="39" t="str">
        <f>IF(D33=2,"Schaltanlage","")</f>
        <v/>
      </c>
    </row>
    <row r="48" spans="1:4" x14ac:dyDescent="0.25">
      <c r="C48" s="39">
        <v>2</v>
      </c>
      <c r="D48" s="39" t="str">
        <f>IF(D33=2,"Transformator","")</f>
        <v/>
      </c>
    </row>
  </sheetData>
  <pageMargins left="0.7" right="0.7" top="0.78740157499999996" bottom="0.78740157499999996" header="0.3" footer="0.3"/>
  <pageSetup paperSize="9" orientation="portrait" r:id="rId1"/>
  <ignoredErrors>
    <ignoredError sqref="D33" evalError="1"/>
    <ignoredError sqref="D35" unlocked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13">
    <tabColor theme="7"/>
  </sheetPr>
  <dimension ref="B2:H27"/>
  <sheetViews>
    <sheetView showGridLines="0" workbookViewId="0">
      <selection activeCell="B22" sqref="B22"/>
    </sheetView>
  </sheetViews>
  <sheetFormatPr baseColWidth="10" defaultColWidth="11.42578125" defaultRowHeight="15" x14ac:dyDescent="0.25"/>
  <cols>
    <col min="1" max="1" width="4.28515625" customWidth="1"/>
    <col min="2" max="2" width="11.42578125" customWidth="1"/>
  </cols>
  <sheetData>
    <row r="2" spans="2:7" x14ac:dyDescent="0.25">
      <c r="B2" s="223" t="s">
        <v>242</v>
      </c>
      <c r="C2" s="223"/>
      <c r="D2" s="223"/>
    </row>
    <row r="4" spans="2:7" ht="15.75" x14ac:dyDescent="0.25">
      <c r="B4" s="14" t="str">
        <f>"Legende der Bewertungspunkte für "&amp;B11</f>
        <v>Legende der Bewertungspunkte für a) Art und Zustand der Anlage:</v>
      </c>
      <c r="C4" s="10"/>
      <c r="D4" s="10"/>
      <c r="E4" s="10"/>
      <c r="F4" s="15"/>
      <c r="G4" s="15"/>
    </row>
    <row r="5" spans="2:7" ht="15.75" x14ac:dyDescent="0.25">
      <c r="B5" s="11">
        <v>0</v>
      </c>
      <c r="C5" s="9" t="s">
        <v>27</v>
      </c>
      <c r="D5" s="9"/>
      <c r="E5" s="9"/>
    </row>
    <row r="6" spans="2:7" ht="15.75" x14ac:dyDescent="0.25">
      <c r="B6" s="12">
        <v>2</v>
      </c>
      <c r="C6" s="9" t="s">
        <v>28</v>
      </c>
      <c r="D6" s="9"/>
      <c r="E6" s="9"/>
    </row>
    <row r="7" spans="2:7" ht="15.75" x14ac:dyDescent="0.25">
      <c r="B7" s="12">
        <v>4</v>
      </c>
      <c r="C7" s="9" t="s">
        <v>29</v>
      </c>
      <c r="D7" s="9"/>
      <c r="E7" s="9"/>
    </row>
    <row r="8" spans="2:7" ht="15.75" x14ac:dyDescent="0.25">
      <c r="B8" s="12">
        <v>7</v>
      </c>
      <c r="C8" s="9" t="s">
        <v>30</v>
      </c>
      <c r="D8" s="9"/>
    </row>
    <row r="9" spans="2:7" ht="15.75" x14ac:dyDescent="0.25">
      <c r="B9" s="13">
        <v>10</v>
      </c>
      <c r="C9" s="9" t="s">
        <v>31</v>
      </c>
      <c r="D9" s="9"/>
      <c r="E9" s="9"/>
    </row>
    <row r="11" spans="2:7" x14ac:dyDescent="0.25">
      <c r="B11" s="6" t="s">
        <v>86</v>
      </c>
    </row>
    <row r="12" spans="2:7" ht="14.45" customHeight="1" x14ac:dyDescent="0.25">
      <c r="B12" s="6"/>
    </row>
    <row r="13" spans="2:7" ht="14.45" customHeight="1" x14ac:dyDescent="0.25">
      <c r="B13" s="20" t="s">
        <v>93</v>
      </c>
    </row>
    <row r="14" spans="2:7" ht="14.45" customHeight="1" x14ac:dyDescent="0.25">
      <c r="B14" s="20"/>
    </row>
    <row r="15" spans="2:7" ht="14.45" customHeight="1" x14ac:dyDescent="0.25">
      <c r="B15" s="19" t="s">
        <v>94</v>
      </c>
    </row>
    <row r="16" spans="2:7" x14ac:dyDescent="0.25">
      <c r="B16" s="19" t="s">
        <v>95</v>
      </c>
    </row>
    <row r="17" spans="2:8" x14ac:dyDescent="0.25">
      <c r="B17" s="19" t="s">
        <v>96</v>
      </c>
    </row>
    <row r="18" spans="2:8" x14ac:dyDescent="0.25">
      <c r="B18" s="19" t="s">
        <v>97</v>
      </c>
    </row>
    <row r="19" spans="2:8" x14ac:dyDescent="0.25">
      <c r="B19" s="19" t="s">
        <v>98</v>
      </c>
    </row>
    <row r="20" spans="2:8" x14ac:dyDescent="0.25">
      <c r="B20" s="19" t="s">
        <v>99</v>
      </c>
    </row>
    <row r="21" spans="2:8" x14ac:dyDescent="0.25">
      <c r="B21" s="19" t="s">
        <v>100</v>
      </c>
    </row>
    <row r="22" spans="2:8" x14ac:dyDescent="0.25">
      <c r="B22" s="230" t="s">
        <v>250</v>
      </c>
      <c r="C22" s="231"/>
      <c r="D22" s="231"/>
      <c r="E22" s="231"/>
    </row>
    <row r="23" spans="2:8" x14ac:dyDescent="0.25">
      <c r="B23" s="230" t="s">
        <v>251</v>
      </c>
      <c r="C23" s="231"/>
      <c r="D23" s="231"/>
      <c r="E23" s="231"/>
      <c r="F23" s="231"/>
      <c r="G23" s="231"/>
      <c r="H23" s="231"/>
    </row>
    <row r="24" spans="2:8" x14ac:dyDescent="0.25">
      <c r="B24" s="230" t="s">
        <v>252</v>
      </c>
      <c r="C24" s="231"/>
      <c r="D24" s="231"/>
    </row>
    <row r="25" spans="2:8" x14ac:dyDescent="0.25">
      <c r="B25" s="230" t="s">
        <v>253</v>
      </c>
      <c r="C25" s="231"/>
      <c r="D25" s="231"/>
      <c r="E25" s="231"/>
    </row>
    <row r="26" spans="2:8" x14ac:dyDescent="0.25">
      <c r="B26" s="19" t="s">
        <v>101</v>
      </c>
    </row>
    <row r="27" spans="2:8" x14ac:dyDescent="0.25">
      <c r="B27" s="17"/>
    </row>
  </sheetData>
  <sheetProtection algorithmName="SHA-512" hashValue="cbDYxHTN6Y1zqmMag1hvSPagGyup4JEwfKYHlKTse66OpIosSj6h8tU/kpfml9CP7VROxN0nq+D0lGK4L9I+Yw==" saltValue="lJFyeum5UkDvQpqDFwVV0g==" spinCount="100000" sheet="1" objects="1" scenarios="1"/>
  <hyperlinks>
    <hyperlink ref="B2" location="'Risikobewertung MS-AC'!A1" display="zurück AC" xr:uid="{00000000-0004-0000-0500-000000000000}"/>
  </hyperlinks>
  <pageMargins left="0.7" right="0.7" top="0.78740157499999996" bottom="0.78740157499999996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14">
    <tabColor theme="7"/>
  </sheetPr>
  <dimension ref="A1:G19"/>
  <sheetViews>
    <sheetView showGridLines="0" showRowColHeaders="0" workbookViewId="0">
      <selection activeCell="I24" sqref="I24"/>
    </sheetView>
  </sheetViews>
  <sheetFormatPr baseColWidth="10" defaultColWidth="11.42578125" defaultRowHeight="15" x14ac:dyDescent="0.25"/>
  <cols>
    <col min="1" max="1" width="4.28515625" customWidth="1"/>
  </cols>
  <sheetData>
    <row r="1" spans="1:7" x14ac:dyDescent="0.25">
      <c r="A1" s="2"/>
    </row>
    <row r="2" spans="1:7" x14ac:dyDescent="0.25">
      <c r="B2" s="223" t="s">
        <v>242</v>
      </c>
      <c r="C2" s="223"/>
      <c r="D2" s="223"/>
    </row>
    <row r="4" spans="1:7" ht="15.75" x14ac:dyDescent="0.25">
      <c r="B4" s="14" t="str">
        <f>"Legende der Bewertungspunkte für "&amp;B12</f>
        <v>Legende der Bewertungspunkte für Technische Maßnahmen zur Vermeidung von Potenzialüberbrückungen (Lichtbogenentstehung) oder zur Begrenzung von Störlichtbogenauswirkungen, z. B.</v>
      </c>
      <c r="C4" s="10"/>
      <c r="D4" s="10"/>
      <c r="E4" s="10"/>
      <c r="F4" s="15"/>
      <c r="G4" s="15"/>
    </row>
    <row r="5" spans="1:7" ht="15.75" x14ac:dyDescent="0.25">
      <c r="B5" s="23">
        <v>0</v>
      </c>
      <c r="C5" s="9" t="s">
        <v>27</v>
      </c>
      <c r="D5" s="9"/>
      <c r="E5" s="9"/>
    </row>
    <row r="6" spans="1:7" ht="15.75" x14ac:dyDescent="0.25">
      <c r="B6" s="24">
        <v>2</v>
      </c>
      <c r="C6" s="9" t="s">
        <v>28</v>
      </c>
      <c r="D6" s="9"/>
      <c r="E6" s="9"/>
    </row>
    <row r="7" spans="1:7" ht="15.75" x14ac:dyDescent="0.25">
      <c r="B7" s="24">
        <v>4</v>
      </c>
      <c r="C7" s="9" t="s">
        <v>29</v>
      </c>
      <c r="D7" s="9"/>
      <c r="E7" s="9"/>
    </row>
    <row r="8" spans="1:7" ht="15.75" x14ac:dyDescent="0.25">
      <c r="B8" s="24">
        <v>7</v>
      </c>
      <c r="C8" s="9" t="s">
        <v>30</v>
      </c>
      <c r="D8" s="9"/>
    </row>
    <row r="9" spans="1:7" ht="15.75" x14ac:dyDescent="0.25">
      <c r="B9" s="24">
        <v>10</v>
      </c>
      <c r="C9" s="9" t="s">
        <v>31</v>
      </c>
      <c r="D9" s="9"/>
      <c r="E9" s="9"/>
    </row>
    <row r="10" spans="1:7" ht="15.75" x14ac:dyDescent="0.25">
      <c r="B10" s="25" t="s">
        <v>140</v>
      </c>
      <c r="C10" s="9" t="s">
        <v>139</v>
      </c>
      <c r="D10" s="9"/>
      <c r="E10" s="9"/>
    </row>
    <row r="12" spans="1:7" x14ac:dyDescent="0.25">
      <c r="B12" s="20" t="s">
        <v>102</v>
      </c>
    </row>
    <row r="13" spans="1:7" x14ac:dyDescent="0.25">
      <c r="B13" s="20"/>
    </row>
    <row r="14" spans="1:7" x14ac:dyDescent="0.25">
      <c r="B14" s="19" t="s">
        <v>103</v>
      </c>
    </row>
    <row r="15" spans="1:7" x14ac:dyDescent="0.25">
      <c r="B15" s="19" t="s">
        <v>104</v>
      </c>
    </row>
    <row r="16" spans="1:7" x14ac:dyDescent="0.25">
      <c r="B16" s="19" t="s">
        <v>105</v>
      </c>
    </row>
    <row r="17" spans="2:4" x14ac:dyDescent="0.25">
      <c r="B17" s="19" t="s">
        <v>106</v>
      </c>
    </row>
    <row r="18" spans="2:4" x14ac:dyDescent="0.25">
      <c r="B18" s="230" t="s">
        <v>254</v>
      </c>
      <c r="C18" s="231"/>
      <c r="D18" s="231"/>
    </row>
    <row r="19" spans="2:4" x14ac:dyDescent="0.25">
      <c r="B19" s="19" t="s">
        <v>107</v>
      </c>
    </row>
  </sheetData>
  <sheetProtection algorithmName="SHA-512" hashValue="qlNGEm1uFVa8/FVj5moHRCeeDualMc0/x19MxDqxRrbsVpYujHALzH6P0DEYcKpm0QThNoDININShjiehQ1moQ==" saltValue="n/g+cQUcfA4NBQR8N732Vw==" spinCount="100000" sheet="1" objects="1" scenarios="1"/>
  <hyperlinks>
    <hyperlink ref="B2" location="'Risikobewertung MS-AC'!A1" display="zurück AC" xr:uid="{E700A0A0-73D0-4592-B2EA-139B6E861FDB}"/>
  </hyperlinks>
  <pageMargins left="0.7" right="0.7" top="0.78740157499999996" bottom="0.78740157499999996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5">
    <tabColor theme="7"/>
  </sheetPr>
  <dimension ref="B2:G46"/>
  <sheetViews>
    <sheetView showGridLines="0" showRowColHeaders="0" workbookViewId="0">
      <selection activeCell="G43" sqref="G43"/>
    </sheetView>
  </sheetViews>
  <sheetFormatPr baseColWidth="10" defaultColWidth="11.42578125" defaultRowHeight="15" x14ac:dyDescent="0.25"/>
  <cols>
    <col min="1" max="1" width="4.28515625" style="4" customWidth="1"/>
    <col min="2" max="16384" width="11.42578125" style="4"/>
  </cols>
  <sheetData>
    <row r="2" spans="2:7" x14ac:dyDescent="0.25">
      <c r="B2" s="223" t="s">
        <v>242</v>
      </c>
      <c r="C2" s="223"/>
      <c r="D2" s="223"/>
    </row>
    <row r="4" spans="2:7" ht="15.75" x14ac:dyDescent="0.25">
      <c r="B4" s="14" t="str">
        <f>"Legende der Bewertungspunkte für "&amp;B12</f>
        <v>Legende der Bewertungspunkte für c) organisatorische Maßnahmen:</v>
      </c>
      <c r="C4" s="10"/>
      <c r="D4" s="10"/>
      <c r="E4" s="10"/>
      <c r="F4" s="15"/>
      <c r="G4" s="15"/>
    </row>
    <row r="5" spans="2:7" customFormat="1" ht="15.75" x14ac:dyDescent="0.25">
      <c r="B5" s="23">
        <v>0</v>
      </c>
      <c r="C5" s="9" t="s">
        <v>27</v>
      </c>
      <c r="D5" s="9"/>
      <c r="E5" s="9"/>
    </row>
    <row r="6" spans="2:7" customFormat="1" ht="15.75" x14ac:dyDescent="0.25">
      <c r="B6" s="24">
        <v>2</v>
      </c>
      <c r="C6" s="9" t="s">
        <v>28</v>
      </c>
      <c r="D6" s="9"/>
      <c r="E6" s="9"/>
    </row>
    <row r="7" spans="2:7" customFormat="1" ht="15.75" x14ac:dyDescent="0.25">
      <c r="B7" s="24">
        <v>4</v>
      </c>
      <c r="C7" s="9" t="s">
        <v>29</v>
      </c>
      <c r="D7" s="9"/>
      <c r="E7" s="9"/>
    </row>
    <row r="8" spans="2:7" customFormat="1" ht="15.75" x14ac:dyDescent="0.25">
      <c r="B8" s="24">
        <v>7</v>
      </c>
      <c r="C8" s="9" t="s">
        <v>30</v>
      </c>
      <c r="D8" s="9"/>
    </row>
    <row r="9" spans="2:7" customFormat="1" ht="15.75" x14ac:dyDescent="0.25">
      <c r="B9" s="24">
        <v>10</v>
      </c>
      <c r="C9" s="9" t="s">
        <v>31</v>
      </c>
      <c r="D9" s="9"/>
      <c r="E9" s="9"/>
    </row>
    <row r="10" spans="2:7" customFormat="1" ht="15.75" x14ac:dyDescent="0.25">
      <c r="B10" s="25" t="s">
        <v>140</v>
      </c>
      <c r="C10" s="9" t="s">
        <v>139</v>
      </c>
      <c r="D10" s="9"/>
      <c r="E10" s="9"/>
    </row>
    <row r="12" spans="2:7" x14ac:dyDescent="0.25">
      <c r="B12" s="7" t="s">
        <v>87</v>
      </c>
    </row>
    <row r="13" spans="2:7" x14ac:dyDescent="0.25">
      <c r="B13" s="5"/>
    </row>
    <row r="14" spans="2:7" x14ac:dyDescent="0.25">
      <c r="B14" s="20" t="s">
        <v>108</v>
      </c>
    </row>
    <row r="15" spans="2:7" x14ac:dyDescent="0.25">
      <c r="B15" s="20"/>
    </row>
    <row r="16" spans="2:7" x14ac:dyDescent="0.25">
      <c r="B16" s="19" t="s">
        <v>109</v>
      </c>
    </row>
    <row r="17" spans="2:2" x14ac:dyDescent="0.25">
      <c r="B17" s="21" t="s">
        <v>2</v>
      </c>
    </row>
    <row r="18" spans="2:2" x14ac:dyDescent="0.25">
      <c r="B18" s="21" t="s">
        <v>3</v>
      </c>
    </row>
    <row r="19" spans="2:2" x14ac:dyDescent="0.25">
      <c r="B19" s="21" t="s">
        <v>4</v>
      </c>
    </row>
    <row r="20" spans="2:2" x14ac:dyDescent="0.25">
      <c r="B20" s="21" t="s">
        <v>5</v>
      </c>
    </row>
    <row r="21" spans="2:2" x14ac:dyDescent="0.25">
      <c r="B21" s="21" t="s">
        <v>6</v>
      </c>
    </row>
    <row r="22" spans="2:2" x14ac:dyDescent="0.25">
      <c r="B22" s="21" t="s">
        <v>7</v>
      </c>
    </row>
    <row r="23" spans="2:2" x14ac:dyDescent="0.25">
      <c r="B23" s="21" t="s">
        <v>8</v>
      </c>
    </row>
    <row r="24" spans="2:2" x14ac:dyDescent="0.25">
      <c r="B24" s="21"/>
    </row>
    <row r="25" spans="2:2" x14ac:dyDescent="0.25">
      <c r="B25" s="19" t="s">
        <v>110</v>
      </c>
    </row>
    <row r="26" spans="2:2" x14ac:dyDescent="0.25">
      <c r="B26" s="21" t="s">
        <v>111</v>
      </c>
    </row>
    <row r="27" spans="2:2" x14ac:dyDescent="0.25">
      <c r="B27" s="21" t="s">
        <v>112</v>
      </c>
    </row>
    <row r="28" spans="2:2" x14ac:dyDescent="0.25">
      <c r="B28" s="1"/>
    </row>
    <row r="29" spans="2:2" x14ac:dyDescent="0.25">
      <c r="B29" s="19" t="s">
        <v>113</v>
      </c>
    </row>
    <row r="30" spans="2:2" x14ac:dyDescent="0.25">
      <c r="B30" s="21" t="s">
        <v>114</v>
      </c>
    </row>
    <row r="31" spans="2:2" x14ac:dyDescent="0.25">
      <c r="B31" s="21" t="s">
        <v>115</v>
      </c>
    </row>
    <row r="32" spans="2:2" x14ac:dyDescent="0.25">
      <c r="B32" s="21" t="s">
        <v>116</v>
      </c>
    </row>
    <row r="33" spans="2:4" x14ac:dyDescent="0.25">
      <c r="B33" s="21" t="s">
        <v>117</v>
      </c>
    </row>
    <row r="34" spans="2:4" x14ac:dyDescent="0.25">
      <c r="B34" s="1"/>
    </row>
    <row r="35" spans="2:4" x14ac:dyDescent="0.25">
      <c r="B35" s="230" t="s">
        <v>256</v>
      </c>
      <c r="C35" s="232"/>
      <c r="D35" s="232"/>
    </row>
    <row r="36" spans="2:4" x14ac:dyDescent="0.25">
      <c r="B36" s="21" t="s">
        <v>118</v>
      </c>
    </row>
    <row r="37" spans="2:4" x14ac:dyDescent="0.25">
      <c r="B37" s="21" t="s">
        <v>119</v>
      </c>
    </row>
    <row r="38" spans="2:4" x14ac:dyDescent="0.25">
      <c r="B38" s="21" t="s">
        <v>120</v>
      </c>
    </row>
    <row r="39" spans="2:4" x14ac:dyDescent="0.25">
      <c r="B39" s="21" t="s">
        <v>117</v>
      </c>
    </row>
    <row r="40" spans="2:4" x14ac:dyDescent="0.25">
      <c r="B40" s="21" t="s">
        <v>121</v>
      </c>
    </row>
    <row r="41" spans="2:4" x14ac:dyDescent="0.25">
      <c r="B41"/>
    </row>
    <row r="42" spans="2:4" x14ac:dyDescent="0.25">
      <c r="B42" s="230" t="s">
        <v>255</v>
      </c>
      <c r="C42" s="232"/>
      <c r="D42" s="232"/>
    </row>
    <row r="43" spans="2:4" x14ac:dyDescent="0.25">
      <c r="B43" s="21" t="s">
        <v>122</v>
      </c>
    </row>
    <row r="44" spans="2:4" x14ac:dyDescent="0.25">
      <c r="B44" s="21" t="s">
        <v>123</v>
      </c>
    </row>
    <row r="45" spans="2:4" x14ac:dyDescent="0.25">
      <c r="B45" s="21" t="s">
        <v>117</v>
      </c>
    </row>
    <row r="46" spans="2:4" x14ac:dyDescent="0.25">
      <c r="B46" s="21" t="s">
        <v>121</v>
      </c>
    </row>
  </sheetData>
  <sheetProtection algorithmName="SHA-512" hashValue="3HT5p481L+4zDoTZ8tZSSdrz9a1Tqto0798ZPrN8Ex7W0bEisyl/LszZfpJvFibG5OFHGbCLd/BYop5jNNKa8A==" saltValue="Z7wow9OUJF07GtTF7PmSKw==" spinCount="100000" sheet="1" objects="1" scenarios="1"/>
  <hyperlinks>
    <hyperlink ref="B2" location="'Risikobewertung MS-AC'!A1" display="zurück AC" xr:uid="{0269C781-E84B-4058-9ACE-A8AC6EE3AA2C}"/>
  </hyperlinks>
  <pageMargins left="0.7" right="0.7" top="0.78740157499999996" bottom="0.78740157499999996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6">
    <tabColor theme="7"/>
  </sheetPr>
  <dimension ref="B2:G28"/>
  <sheetViews>
    <sheetView showGridLines="0" showRowColHeaders="0" workbookViewId="0">
      <selection activeCell="B20" sqref="B20"/>
    </sheetView>
  </sheetViews>
  <sheetFormatPr baseColWidth="10" defaultColWidth="11.42578125" defaultRowHeight="15" x14ac:dyDescent="0.25"/>
  <cols>
    <col min="1" max="1" width="4.28515625" style="4" customWidth="1"/>
    <col min="2" max="16384" width="11.42578125" style="4"/>
  </cols>
  <sheetData>
    <row r="2" spans="2:7" x14ac:dyDescent="0.25">
      <c r="B2" s="223" t="s">
        <v>242</v>
      </c>
      <c r="C2" s="223"/>
      <c r="D2" s="223"/>
    </row>
    <row r="4" spans="2:7" ht="15.75" x14ac:dyDescent="0.25">
      <c r="B4" s="14" t="str">
        <f>"Legende der Bewertungspunkte für "&amp;B12</f>
        <v>Legende der Bewertungspunkte für d) persönliche Maßnahmen:</v>
      </c>
      <c r="C4" s="10"/>
      <c r="D4" s="10"/>
      <c r="E4" s="10"/>
      <c r="F4" s="15"/>
      <c r="G4" s="15"/>
    </row>
    <row r="5" spans="2:7" customFormat="1" ht="15.75" x14ac:dyDescent="0.25">
      <c r="B5" s="23">
        <v>0</v>
      </c>
      <c r="C5" s="9" t="s">
        <v>27</v>
      </c>
      <c r="D5" s="9"/>
      <c r="E5" s="9"/>
    </row>
    <row r="6" spans="2:7" customFormat="1" ht="15.75" x14ac:dyDescent="0.25">
      <c r="B6" s="24">
        <v>2</v>
      </c>
      <c r="C6" s="9" t="s">
        <v>28</v>
      </c>
      <c r="D6" s="9"/>
      <c r="E6" s="9"/>
    </row>
    <row r="7" spans="2:7" customFormat="1" ht="15.75" x14ac:dyDescent="0.25">
      <c r="B7" s="24">
        <v>4</v>
      </c>
      <c r="C7" s="9" t="s">
        <v>29</v>
      </c>
      <c r="D7" s="9"/>
      <c r="E7" s="9"/>
    </row>
    <row r="8" spans="2:7" customFormat="1" ht="15.75" x14ac:dyDescent="0.25">
      <c r="B8" s="24">
        <v>7</v>
      </c>
      <c r="C8" s="9" t="s">
        <v>30</v>
      </c>
      <c r="D8" s="9"/>
    </row>
    <row r="9" spans="2:7" customFormat="1" ht="15.75" x14ac:dyDescent="0.25">
      <c r="B9" s="24">
        <v>10</v>
      </c>
      <c r="C9" s="9" t="s">
        <v>31</v>
      </c>
      <c r="D9" s="9"/>
      <c r="E9" s="9"/>
    </row>
    <row r="10" spans="2:7" customFormat="1" ht="15.75" x14ac:dyDescent="0.25">
      <c r="B10" s="25" t="s">
        <v>140</v>
      </c>
      <c r="C10" s="9" t="s">
        <v>139</v>
      </c>
      <c r="D10" s="9"/>
      <c r="E10" s="9"/>
    </row>
    <row r="12" spans="2:7" x14ac:dyDescent="0.25">
      <c r="B12" s="7" t="s">
        <v>88</v>
      </c>
    </row>
    <row r="13" spans="2:7" x14ac:dyDescent="0.25">
      <c r="B13" s="5"/>
    </row>
    <row r="14" spans="2:7" x14ac:dyDescent="0.25">
      <c r="B14" s="20" t="s">
        <v>124</v>
      </c>
    </row>
    <row r="15" spans="2:7" x14ac:dyDescent="0.25">
      <c r="B15" s="18"/>
    </row>
    <row r="16" spans="2:7" x14ac:dyDescent="0.25">
      <c r="B16" s="19" t="s">
        <v>125</v>
      </c>
    </row>
    <row r="17" spans="2:2" x14ac:dyDescent="0.25">
      <c r="B17" s="21" t="s">
        <v>258</v>
      </c>
    </row>
    <row r="18" spans="2:2" x14ac:dyDescent="0.25">
      <c r="B18" s="21" t="s">
        <v>257</v>
      </c>
    </row>
    <row r="19" spans="2:2" x14ac:dyDescent="0.25">
      <c r="B19" s="21" t="s">
        <v>9</v>
      </c>
    </row>
    <row r="20" spans="2:2" x14ac:dyDescent="0.25">
      <c r="B20" s="21" t="s">
        <v>10</v>
      </c>
    </row>
    <row r="21" spans="2:2" x14ac:dyDescent="0.25">
      <c r="B21"/>
    </row>
    <row r="22" spans="2:2" x14ac:dyDescent="0.25">
      <c r="B22" s="19" t="s">
        <v>126</v>
      </c>
    </row>
    <row r="23" spans="2:2" x14ac:dyDescent="0.25">
      <c r="B23" s="21" t="s">
        <v>11</v>
      </c>
    </row>
    <row r="24" spans="2:2" x14ac:dyDescent="0.25">
      <c r="B24" s="21" t="s">
        <v>12</v>
      </c>
    </row>
    <row r="25" spans="2:2" x14ac:dyDescent="0.25">
      <c r="B25" s="21" t="s">
        <v>13</v>
      </c>
    </row>
    <row r="26" spans="2:2" x14ac:dyDescent="0.25">
      <c r="B26" s="233" t="s">
        <v>14</v>
      </c>
    </row>
    <row r="27" spans="2:2" x14ac:dyDescent="0.25">
      <c r="B27" s="21" t="s">
        <v>15</v>
      </c>
    </row>
    <row r="28" spans="2:2" x14ac:dyDescent="0.25">
      <c r="B28" s="22" t="s">
        <v>16</v>
      </c>
    </row>
  </sheetData>
  <sheetProtection algorithmName="SHA-512" hashValue="k9qIJwc7eitxlmoAf/ccqXxoUehaEsESQlpJQKoqPx2bpSKh4zT65oRmzJxkas+uB9yN9xnobJo4mh7RfmO0Rw==" saltValue="vVsJcsD3D8hjRBX5KVbBKQ==" spinCount="100000" sheet="1" objects="1" scenarios="1"/>
  <hyperlinks>
    <hyperlink ref="B2" location="'Risikobewertung MS-AC'!A1" display="zurück AC" xr:uid="{B9933185-EB89-4328-AECE-FEE754C104D9}"/>
  </hyperlinks>
  <pageMargins left="0.7" right="0.7" top="0.78740157499999996" bottom="0.78740157499999996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f U 5 c W U v w 2 k 6 k A A A A 9 Q A A A B I A H A B D b 2 5 m a W c v U G F j a 2 F n Z S 5 4 b W w g o h g A K K A U A A A A A A A A A A A A A A A A A A A A A A A A A A A A h Y 8 x D o I w G I W v Q r r T F o j R k J 8 y q J s k J i b G t S m 1 N E I x t F j u 5 u C R v I I Y R d 0 c 3 / e + 4 b 3 7 9 Q b 5 0 N T B R X Z W t y Z D E a Y o k E a 0 p T Y q Q 7 0 7 h g u U M 9 h y c e J K B q N s b D r Y M k O V c + e U E O 8 9 9 g l u O 0 V i S i N y K D Y 7 U c m G o 4 + s / 8 u h N t Z x I y R i s H + N Y T G O k g T P 5 p g C m R g U 2 n z 7 e J z 7 b H 8 g L P v a 9 Z 1 k p Q x X a y B T B P K + w B 5 Q S w M E F A A C A A g A f U 5 c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1 O X F k o i k e 4 D g A A A B E A A A A T A B w A R m 9 y b X V s Y X M v U 2 V j d G l v b j E u b S C i G A A o o B Q A A A A A A A A A A A A A A A A A A A A A A A A A A A A r T k 0 u y c z P U w i G 0 I b W A F B L A Q I t A B Q A A g A I A H 1 O X F l L 8 N p O p A A A A P U A A A A S A A A A A A A A A A A A A A A A A A A A A A B D b 2 5 m a W c v U G F j a 2 F n Z S 5 4 b W x Q S w E C L Q A U A A I A C A B 9 T l x Z D 8 r p q 6 Q A A A D p A A A A E w A A A A A A A A A A A A A A A A D w A A A A W 0 N v b n R l b n R f V H l w Z X N d L n h t b F B L A Q I t A B Q A A g A I A H 1 O X F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V W E 3 X F 2 o q Q r p d + k C D j j 1 P A A A A A A I A A A A A A B B m A A A A A Q A A I A A A A H Q h i p h I q a D j t t c q V 5 e / P 7 4 C q P a g p N 3 M Z n n H k 9 5 f 2 e e 9 A A A A A A 6 A A A A A A g A A I A A A A M f h r j 2 u j J i J 0 P 8 m R o R N U z D r c B s B b V l p G X p b n X D C l m C + U A A A A H Y l q s H 9 z R 3 F 1 k c R 4 P l H K w M H 2 O V / a b V o 4 B s T M 2 Q R I f o o U R N R h M s F x o 8 T h 3 H 5 W a A r n d 9 7 z 3 b j I q + y t g g u H q X C x x C z X 6 R j g K s O e o Z 1 E 5 N s 1 4 J 1 Q A A A A J O Z T L L O 4 W 6 o P 8 E 3 4 s M y J 4 4 E Z h 5 h Q 9 8 F f g D k D N R N i F Y h W F m z 2 p k 2 f 7 m W P r + i 0 q X 1 c V V b K y v 8 b s q X l o T n d u 7 T X a A = < / D a t a M a s h u p > 
</file>

<file path=customXml/itemProps1.xml><?xml version="1.0" encoding="utf-8"?>
<ds:datastoreItem xmlns:ds="http://schemas.openxmlformats.org/officeDocument/2006/customXml" ds:itemID="{4A3FA57B-A88B-4C74-AAB0-A72F477752C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User MS-AC</vt:lpstr>
      <vt:lpstr>Berechnung MS-AC</vt:lpstr>
      <vt:lpstr>Risikobewertung MS-AC</vt:lpstr>
      <vt:lpstr>Ausdruck MS-AC</vt:lpstr>
      <vt:lpstr>Rechnung_ausgeblendet für User</vt:lpstr>
      <vt:lpstr>a)</vt:lpstr>
      <vt:lpstr>b)</vt:lpstr>
      <vt:lpstr>c)</vt:lpstr>
      <vt:lpstr>d)</vt:lpstr>
      <vt:lpstr>e)</vt:lpstr>
      <vt:lpstr>f)</vt:lpstr>
      <vt:lpstr>'Ausdruck MS-AC'!Druckbereich</vt:lpstr>
      <vt:lpstr>'Risikobewertung MS-AC'!Druckbereich</vt:lpstr>
      <vt:lpstr>'User MS-AC'!Druckbereich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Martin.Schwarzmeier@bayernwerk.de</dc:creator>
  <cp:lastModifiedBy>Mehlem, Martin</cp:lastModifiedBy>
  <cp:lastPrinted>2025-08-20T15:19:11Z</cp:lastPrinted>
  <dcterms:created xsi:type="dcterms:W3CDTF">2019-01-16T12:04:37Z</dcterms:created>
  <dcterms:modified xsi:type="dcterms:W3CDTF">2026-08-14T05:19:11Z</dcterms:modified>
</cp:coreProperties>
</file>